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<sst xmlns="http://schemas.openxmlformats.org/spreadsheetml/2006/main" count="11249" uniqueCount="2760">
  <si>
    <t>长期末端公示（2026年03月）</t>
  </si>
  <si>
    <t>序号</t>
  </si>
  <si>
    <t>户主姓名</t>
  </si>
  <si>
    <t>性别</t>
  </si>
  <si>
    <t>家庭地址</t>
  </si>
  <si>
    <t>保障类别</t>
  </si>
  <si>
    <t>保障人数</t>
  </si>
  <si>
    <t>户月保障金额</t>
  </si>
  <si>
    <t>李祥艾</t>
  </si>
  <si>
    <t>男</t>
  </si>
  <si>
    <t>烈山区宋疃镇宋疃社区</t>
  </si>
  <si>
    <t>农保B类</t>
  </si>
  <si>
    <t>刘正夫</t>
  </si>
  <si>
    <t>烈山区宋疃镇东风村委会</t>
  </si>
  <si>
    <t>化兰英</t>
  </si>
  <si>
    <t>女</t>
  </si>
  <si>
    <t>烈山区烈山镇南庄村委会</t>
  </si>
  <si>
    <t>农保A类</t>
  </si>
  <si>
    <t>姜桂芝</t>
  </si>
  <si>
    <t>烈山区宋疃镇和村社区</t>
  </si>
  <si>
    <t>黄昌松</t>
  </si>
  <si>
    <t>烈山区烈山镇土楼社区</t>
  </si>
  <si>
    <t>赵云兰</t>
  </si>
  <si>
    <t>赵新德</t>
  </si>
  <si>
    <t>朱运通</t>
  </si>
  <si>
    <t>张丙信</t>
  </si>
  <si>
    <t>董宏君</t>
  </si>
  <si>
    <t>烈山区宋疃镇雷山社区</t>
  </si>
  <si>
    <t>马辛芝</t>
  </si>
  <si>
    <t>李翠平</t>
  </si>
  <si>
    <t>宗京才</t>
  </si>
  <si>
    <t>王月芹</t>
  </si>
  <si>
    <t>李桂芝</t>
  </si>
  <si>
    <t>李书云</t>
  </si>
  <si>
    <t>马翠平</t>
  </si>
  <si>
    <t>烈山区宋疃镇马场社区</t>
  </si>
  <si>
    <t>李端守</t>
  </si>
  <si>
    <t>位秀兰</t>
  </si>
  <si>
    <t>刘明兰</t>
  </si>
  <si>
    <t>张启岗</t>
  </si>
  <si>
    <t>李桂兰</t>
  </si>
  <si>
    <t>任启兰</t>
  </si>
  <si>
    <t>李居民</t>
  </si>
  <si>
    <t>葛印英</t>
  </si>
  <si>
    <t>李祥银</t>
  </si>
  <si>
    <t>王守荣</t>
  </si>
  <si>
    <t>魏端英</t>
  </si>
  <si>
    <t>李居银</t>
  </si>
  <si>
    <t>李明桂</t>
  </si>
  <si>
    <t>烈山区宋疃镇马桥村委会</t>
  </si>
  <si>
    <t>冯新民</t>
  </si>
  <si>
    <t>董宏干</t>
  </si>
  <si>
    <t>宋兰芳</t>
  </si>
  <si>
    <t>唐秀君</t>
  </si>
  <si>
    <t>任启全</t>
  </si>
  <si>
    <t>杜元平</t>
  </si>
  <si>
    <t>李端林</t>
  </si>
  <si>
    <t>任秀英</t>
  </si>
  <si>
    <t>钱志敏</t>
  </si>
  <si>
    <t>张纯启</t>
  </si>
  <si>
    <t>黄思云</t>
  </si>
  <si>
    <t>刘仁华</t>
  </si>
  <si>
    <t>张成中</t>
  </si>
  <si>
    <t>赵先着</t>
  </si>
  <si>
    <t>刘素侠</t>
  </si>
  <si>
    <t>孟庆志</t>
  </si>
  <si>
    <t>杜芳</t>
  </si>
  <si>
    <t>烈山区宋疃镇军王村委会</t>
  </si>
  <si>
    <t>费秀英</t>
  </si>
  <si>
    <t>杜元侠</t>
  </si>
  <si>
    <t>宋贤启</t>
  </si>
  <si>
    <t>周胜民</t>
  </si>
  <si>
    <t>李忠芹</t>
  </si>
  <si>
    <t>李端勇</t>
  </si>
  <si>
    <t>杜永和</t>
  </si>
  <si>
    <t>刘志才</t>
  </si>
  <si>
    <t>张义民</t>
  </si>
  <si>
    <t>宣昭志</t>
  </si>
  <si>
    <t>魏敏</t>
  </si>
  <si>
    <t>农保C类</t>
  </si>
  <si>
    <t>李玉兰</t>
  </si>
  <si>
    <t>赵守文</t>
  </si>
  <si>
    <t>赵淑侠</t>
  </si>
  <si>
    <t>赵永义</t>
  </si>
  <si>
    <t>谢宽</t>
  </si>
  <si>
    <t>王秀芹</t>
  </si>
  <si>
    <t>李端树</t>
  </si>
  <si>
    <t>杜尚云</t>
  </si>
  <si>
    <t>李文</t>
  </si>
  <si>
    <t>李端记</t>
  </si>
  <si>
    <t>王宗堂</t>
  </si>
  <si>
    <t>雷联合</t>
  </si>
  <si>
    <t>荣凤侠</t>
  </si>
  <si>
    <t>李端友</t>
  </si>
  <si>
    <t>王雪影</t>
  </si>
  <si>
    <t>刘小朵</t>
  </si>
  <si>
    <t>李端青</t>
  </si>
  <si>
    <t>周毛妮</t>
  </si>
  <si>
    <t>朱德龙</t>
  </si>
  <si>
    <t>郑万军</t>
  </si>
  <si>
    <t>杜磊</t>
  </si>
  <si>
    <t>李宿县</t>
  </si>
  <si>
    <t>张培培</t>
  </si>
  <si>
    <t>赵成圣</t>
  </si>
  <si>
    <t>烈山区烈山镇榴园社区</t>
  </si>
  <si>
    <t>李茹</t>
  </si>
  <si>
    <t>李创业</t>
  </si>
  <si>
    <t>李传龙</t>
  </si>
  <si>
    <t>雷金刚</t>
  </si>
  <si>
    <t>朱正清</t>
  </si>
  <si>
    <t>孙漫漫</t>
  </si>
  <si>
    <t>赵翠波</t>
  </si>
  <si>
    <t>李尚</t>
  </si>
  <si>
    <t>陈宁宁</t>
  </si>
  <si>
    <t>张安礼</t>
  </si>
  <si>
    <t>张文武</t>
  </si>
  <si>
    <t>杜倩男</t>
  </si>
  <si>
    <t>烈山区宋疃镇黄营村委会</t>
  </si>
  <si>
    <t>李晓雨</t>
  </si>
  <si>
    <t>李本学</t>
  </si>
  <si>
    <t>宋计思</t>
  </si>
  <si>
    <t>赵子艳</t>
  </si>
  <si>
    <t>烈山区古饶镇刁山村委会</t>
  </si>
  <si>
    <t>朱越文</t>
  </si>
  <si>
    <t>烈山区古饶镇土山社区</t>
  </si>
  <si>
    <t>李紫薇</t>
  </si>
  <si>
    <t>周佳惠</t>
  </si>
  <si>
    <t>张向辛</t>
  </si>
  <si>
    <t>王艳</t>
  </si>
  <si>
    <t>烈山区古饶镇山西村委会</t>
  </si>
  <si>
    <t>赵永化</t>
  </si>
  <si>
    <t>烈山区古饶镇殷楼社区</t>
  </si>
  <si>
    <t>王玲</t>
  </si>
  <si>
    <t>烈山区古饶镇赵集社区</t>
  </si>
  <si>
    <t>李传超</t>
  </si>
  <si>
    <t>孙念</t>
  </si>
  <si>
    <t>烈山区烈山镇新北社区</t>
  </si>
  <si>
    <t>马艳</t>
  </si>
  <si>
    <t>烈山区宋疃镇太山社区</t>
  </si>
  <si>
    <t>吕若情</t>
  </si>
  <si>
    <t>李祥民</t>
  </si>
  <si>
    <t>李冠宇</t>
  </si>
  <si>
    <t>张红</t>
  </si>
  <si>
    <t>烈山区古饶镇张庄村委会</t>
  </si>
  <si>
    <t>高依凡</t>
  </si>
  <si>
    <t>滕礼志</t>
  </si>
  <si>
    <t>烈山区古饶镇赵楼社区</t>
  </si>
  <si>
    <t>张雨微</t>
  </si>
  <si>
    <t>赵云</t>
  </si>
  <si>
    <t>烈山区古饶镇大何村委会</t>
  </si>
  <si>
    <t>赵先瑞</t>
  </si>
  <si>
    <t>何子阳</t>
  </si>
  <si>
    <t>陈玉红</t>
  </si>
  <si>
    <t>王子丰</t>
  </si>
  <si>
    <t>赵纯文</t>
  </si>
  <si>
    <t>张子贤</t>
  </si>
  <si>
    <t>李宏</t>
  </si>
  <si>
    <t>朱梦琪</t>
  </si>
  <si>
    <t>李正</t>
  </si>
  <si>
    <t>烈山区古饶镇太山村委会</t>
  </si>
  <si>
    <t>易欣茹</t>
  </si>
  <si>
    <t>烈山区古饶镇秦楼村委会</t>
  </si>
  <si>
    <t>王绘</t>
  </si>
  <si>
    <t>马荣</t>
  </si>
  <si>
    <t>烈山区古饶镇王店村委会</t>
  </si>
  <si>
    <t>刘雨晴</t>
  </si>
  <si>
    <t>张守成</t>
  </si>
  <si>
    <t>烈山区古饶镇双河村委会</t>
  </si>
  <si>
    <t>陈磊</t>
  </si>
  <si>
    <t>烈山区古饶镇山北村委会</t>
  </si>
  <si>
    <t>马永胜</t>
  </si>
  <si>
    <t>吴超</t>
  </si>
  <si>
    <t>周方同</t>
  </si>
  <si>
    <t>赵晓民</t>
  </si>
  <si>
    <t>张子龙</t>
  </si>
  <si>
    <t>赵洋洋</t>
  </si>
  <si>
    <t>常见见</t>
  </si>
  <si>
    <t>赵汉文</t>
  </si>
  <si>
    <t>王明</t>
  </si>
  <si>
    <t>张立荣</t>
  </si>
  <si>
    <t>烈山区古饶镇山南村委会</t>
  </si>
  <si>
    <t>谢敬分</t>
  </si>
  <si>
    <t>烈山区烈山镇凤凰社区</t>
  </si>
  <si>
    <t>陈洪秀</t>
  </si>
  <si>
    <t>花方英</t>
  </si>
  <si>
    <t>烈山区烈山镇青谷社区</t>
  </si>
  <si>
    <t>李兰英</t>
  </si>
  <si>
    <t>徐广爱</t>
  </si>
  <si>
    <t>烈山区古饶镇况楼社区</t>
  </si>
  <si>
    <t>花经申</t>
  </si>
  <si>
    <t>贾贵英</t>
  </si>
  <si>
    <t>金秀英</t>
  </si>
  <si>
    <t>烈山区烈山镇蒋疃社区</t>
  </si>
  <si>
    <t>赵德军</t>
  </si>
  <si>
    <t>赵裕华</t>
  </si>
  <si>
    <t>李端勤</t>
  </si>
  <si>
    <t>宋计德</t>
  </si>
  <si>
    <t>木于田</t>
  </si>
  <si>
    <t>李桂英</t>
  </si>
  <si>
    <t>尹红伟</t>
  </si>
  <si>
    <t>张加佑</t>
  </si>
  <si>
    <t>石素兰</t>
  </si>
  <si>
    <t>烈山区宋疃镇费寨村委会</t>
  </si>
  <si>
    <t>魏继英</t>
  </si>
  <si>
    <t>况成兰</t>
  </si>
  <si>
    <t>周素连</t>
  </si>
  <si>
    <t>何有敏</t>
  </si>
  <si>
    <t>赵秀华</t>
  </si>
  <si>
    <t>程祥云</t>
  </si>
  <si>
    <t>烈山区宋疃镇古饶社区</t>
  </si>
  <si>
    <t>王帮顶</t>
  </si>
  <si>
    <t>韩玉兰</t>
  </si>
  <si>
    <t>黄兰英</t>
  </si>
  <si>
    <t>赵长玲</t>
  </si>
  <si>
    <t>周方郎</t>
  </si>
  <si>
    <t>陈宜坦</t>
  </si>
  <si>
    <t>田记英</t>
  </si>
  <si>
    <t>李秀英</t>
  </si>
  <si>
    <t>李曹氏</t>
  </si>
  <si>
    <t>张志申</t>
  </si>
  <si>
    <t>周方册</t>
  </si>
  <si>
    <t>王兆英</t>
  </si>
  <si>
    <t>烈山区古饶镇南园村委会</t>
  </si>
  <si>
    <t>贾长龙</t>
  </si>
  <si>
    <t>禹广兰</t>
  </si>
  <si>
    <t>张守正</t>
  </si>
  <si>
    <t>康秀英</t>
  </si>
  <si>
    <t>储方民</t>
  </si>
  <si>
    <t>李凤英</t>
  </si>
  <si>
    <t>邵士敬</t>
  </si>
  <si>
    <t>烈山区宋疃镇新园村委会</t>
  </si>
  <si>
    <t>桂宗孟</t>
  </si>
  <si>
    <t>蒋响英</t>
  </si>
  <si>
    <t>杨正新</t>
  </si>
  <si>
    <t>陆大仙</t>
  </si>
  <si>
    <t>胡秀英</t>
  </si>
  <si>
    <t>邵守元</t>
  </si>
  <si>
    <t>李安平</t>
  </si>
  <si>
    <t>秦德权</t>
  </si>
  <si>
    <t>烈山区古饶镇草庙村委会</t>
  </si>
  <si>
    <t>赵品俊</t>
  </si>
  <si>
    <t>朱秀云</t>
  </si>
  <si>
    <t>董红梅</t>
  </si>
  <si>
    <t>代秀云</t>
  </si>
  <si>
    <t>马家成</t>
  </si>
  <si>
    <t>王文清</t>
  </si>
  <si>
    <t>张秀英</t>
  </si>
  <si>
    <t>张守英</t>
  </si>
  <si>
    <t>王志英</t>
  </si>
  <si>
    <t>魏平銮</t>
  </si>
  <si>
    <t>孙宗英</t>
  </si>
  <si>
    <t>谢保金</t>
  </si>
  <si>
    <t>张广益</t>
  </si>
  <si>
    <t>张广英</t>
  </si>
  <si>
    <t>宋贤英</t>
  </si>
  <si>
    <t>张志峰</t>
  </si>
  <si>
    <t>马守锦</t>
  </si>
  <si>
    <t>魏銮英</t>
  </si>
  <si>
    <t>皇言志</t>
  </si>
  <si>
    <t>李本英</t>
  </si>
  <si>
    <t>烈山区古饶镇半峭社区</t>
  </si>
  <si>
    <t>李丙可</t>
  </si>
  <si>
    <t>魏成龙</t>
  </si>
  <si>
    <t>梁清彩</t>
  </si>
  <si>
    <t>周兰英</t>
  </si>
  <si>
    <t>赵先于</t>
  </si>
  <si>
    <t>董桂华</t>
  </si>
  <si>
    <t>郑加英</t>
  </si>
  <si>
    <t>赵希承</t>
  </si>
  <si>
    <t>何正礼</t>
  </si>
  <si>
    <t>烈山区古饶镇谷山村委会</t>
  </si>
  <si>
    <t>董井法</t>
  </si>
  <si>
    <t>周方贵</t>
  </si>
  <si>
    <t>赵德远</t>
  </si>
  <si>
    <t>汪立宣</t>
  </si>
  <si>
    <t>郭金元</t>
  </si>
  <si>
    <t>梁仓兰</t>
  </si>
  <si>
    <t>曹光兰</t>
  </si>
  <si>
    <t>薛友法</t>
  </si>
  <si>
    <t>赵先贺</t>
  </si>
  <si>
    <t>烈山区古饶镇新村社区</t>
  </si>
  <si>
    <t>杨献章</t>
  </si>
  <si>
    <t>李翠梅</t>
  </si>
  <si>
    <t>侯秀英</t>
  </si>
  <si>
    <t>张敬才</t>
  </si>
  <si>
    <t>李成英</t>
  </si>
  <si>
    <t>邵义备</t>
  </si>
  <si>
    <t>蔡士权</t>
  </si>
  <si>
    <t>董宏亮</t>
  </si>
  <si>
    <t>张唤堂</t>
  </si>
  <si>
    <t>杨道德</t>
  </si>
  <si>
    <t>代贵兰</t>
  </si>
  <si>
    <t>魏恒义</t>
  </si>
  <si>
    <t>蔡永善</t>
  </si>
  <si>
    <t>许启舜</t>
  </si>
  <si>
    <t>张志英</t>
  </si>
  <si>
    <t>林长远</t>
  </si>
  <si>
    <t>刘乾信</t>
  </si>
  <si>
    <t>周玲</t>
  </si>
  <si>
    <t>余启风</t>
  </si>
  <si>
    <t>康洪亮</t>
  </si>
  <si>
    <t>姜秀云</t>
  </si>
  <si>
    <t>孙碧云</t>
  </si>
  <si>
    <t>赵德民</t>
  </si>
  <si>
    <t>赵忠华</t>
  </si>
  <si>
    <t>魏继宝</t>
  </si>
  <si>
    <t>郑显文</t>
  </si>
  <si>
    <t>赵永品</t>
  </si>
  <si>
    <t>谢敬芳</t>
  </si>
  <si>
    <t>李丙于</t>
  </si>
  <si>
    <t>代礼山</t>
  </si>
  <si>
    <t>魏兰英</t>
  </si>
  <si>
    <t>刘正邦</t>
  </si>
  <si>
    <t>侯纪方</t>
  </si>
  <si>
    <t>李文启</t>
  </si>
  <si>
    <t>张焕民</t>
  </si>
  <si>
    <t>陈凤英</t>
  </si>
  <si>
    <t>黄克君</t>
  </si>
  <si>
    <t>宋计章</t>
  </si>
  <si>
    <t>禹思言</t>
  </si>
  <si>
    <t>陈白女</t>
  </si>
  <si>
    <t>张玉英</t>
  </si>
  <si>
    <t>黄克民</t>
  </si>
  <si>
    <t>赵先仁</t>
  </si>
  <si>
    <t>陈永志</t>
  </si>
  <si>
    <t>刘正林</t>
  </si>
  <si>
    <t>赵德举</t>
  </si>
  <si>
    <t>魏亚平</t>
  </si>
  <si>
    <t>张广芬</t>
  </si>
  <si>
    <t>谢宝华</t>
  </si>
  <si>
    <t>赵先民</t>
  </si>
  <si>
    <t>赵中英</t>
  </si>
  <si>
    <t>李宗明</t>
  </si>
  <si>
    <t>郝传汝</t>
  </si>
  <si>
    <t>董昌英</t>
  </si>
  <si>
    <t>侯辉银</t>
  </si>
  <si>
    <t>陈永久</t>
  </si>
  <si>
    <t>赵先兰</t>
  </si>
  <si>
    <t>孔永军</t>
  </si>
  <si>
    <t>朱记芬</t>
  </si>
  <si>
    <t>赵德平</t>
  </si>
  <si>
    <t>赵德巨</t>
  </si>
  <si>
    <t>陈士永</t>
  </si>
  <si>
    <t>石秀英</t>
  </si>
  <si>
    <t>张兴玉</t>
  </si>
  <si>
    <t>马庆乾</t>
  </si>
  <si>
    <t>赵永兰</t>
  </si>
  <si>
    <t>马庆坤</t>
  </si>
  <si>
    <t>王夫银</t>
  </si>
  <si>
    <t>胡敬才</t>
  </si>
  <si>
    <t>黄井才</t>
  </si>
  <si>
    <t>汪全志</t>
  </si>
  <si>
    <t>杜庆美</t>
  </si>
  <si>
    <t>周翠英</t>
  </si>
  <si>
    <t>房传爱</t>
  </si>
  <si>
    <t>刘贞侠</t>
  </si>
  <si>
    <t>李万杰</t>
  </si>
  <si>
    <t>马振英</t>
  </si>
  <si>
    <t>马庆先</t>
  </si>
  <si>
    <t>李体侠</t>
  </si>
  <si>
    <t>谢敬芹</t>
  </si>
  <si>
    <t>周圣英</t>
  </si>
  <si>
    <t>李贤卜</t>
  </si>
  <si>
    <t>李文芹</t>
  </si>
  <si>
    <t>周新德</t>
  </si>
  <si>
    <t>李苦练</t>
  </si>
  <si>
    <t>陈钦端</t>
  </si>
  <si>
    <t>李淑侠</t>
  </si>
  <si>
    <t>王家贞</t>
  </si>
  <si>
    <t>杨道锋</t>
  </si>
  <si>
    <t>赵德言</t>
  </si>
  <si>
    <t>马庆华</t>
  </si>
  <si>
    <t>周汝正</t>
  </si>
  <si>
    <t>郭志英</t>
  </si>
  <si>
    <t>任二毛</t>
  </si>
  <si>
    <t>吴连举</t>
  </si>
  <si>
    <t>杨正义</t>
  </si>
  <si>
    <t>赵建华</t>
  </si>
  <si>
    <t>刘体栾</t>
  </si>
  <si>
    <t>陈礼平</t>
  </si>
  <si>
    <t>赵先田</t>
  </si>
  <si>
    <t>张守金</t>
  </si>
  <si>
    <t>陈洪明</t>
  </si>
  <si>
    <t>王德兰</t>
  </si>
  <si>
    <t>林允柱</t>
  </si>
  <si>
    <t>徐秀英</t>
  </si>
  <si>
    <t>魏计永</t>
  </si>
  <si>
    <t>郝宗荣</t>
  </si>
  <si>
    <t>代志安</t>
  </si>
  <si>
    <t>吕运点</t>
  </si>
  <si>
    <t>江培兰</t>
  </si>
  <si>
    <t>赵德干</t>
  </si>
  <si>
    <t>李天胜</t>
  </si>
  <si>
    <t>李维兴</t>
  </si>
  <si>
    <t>刘付信</t>
  </si>
  <si>
    <t>张万鹅</t>
  </si>
  <si>
    <t>李存安</t>
  </si>
  <si>
    <t>周胜国</t>
  </si>
  <si>
    <t>侯辉要</t>
  </si>
  <si>
    <t>梁永法</t>
  </si>
  <si>
    <t>秦德生</t>
  </si>
  <si>
    <t>陈宏英</t>
  </si>
  <si>
    <t>况开觉</t>
  </si>
  <si>
    <t>宋淑侠</t>
  </si>
  <si>
    <t>郑显英</t>
  </si>
  <si>
    <t>王长修</t>
  </si>
  <si>
    <t>王家运</t>
  </si>
  <si>
    <t>李从亮</t>
  </si>
  <si>
    <t>位育侠</t>
  </si>
  <si>
    <t>王新民</t>
  </si>
  <si>
    <t>尹小民</t>
  </si>
  <si>
    <t>赵大林</t>
  </si>
  <si>
    <t>董运勤</t>
  </si>
  <si>
    <t>孙正良</t>
  </si>
  <si>
    <t>周德运</t>
  </si>
  <si>
    <t>马如武</t>
  </si>
  <si>
    <t>烈山区古饶镇平山社区</t>
  </si>
  <si>
    <t>王加荣</t>
  </si>
  <si>
    <t>蔡启侠</t>
  </si>
  <si>
    <t>宗丰志</t>
  </si>
  <si>
    <t>许树香</t>
  </si>
  <si>
    <t>唐志华</t>
  </si>
  <si>
    <t>黄绍云</t>
  </si>
  <si>
    <t>范书云</t>
  </si>
  <si>
    <t>赵德林</t>
  </si>
  <si>
    <t>秦胜娥</t>
  </si>
  <si>
    <t>周方礼</t>
  </si>
  <si>
    <t>吴节玲</t>
  </si>
  <si>
    <t>储贤顺</t>
  </si>
  <si>
    <t>刘正侠</t>
  </si>
  <si>
    <t>刘运书</t>
  </si>
  <si>
    <t>代礼玲</t>
  </si>
  <si>
    <t>薛宏宽</t>
  </si>
  <si>
    <t>张计宗</t>
  </si>
  <si>
    <t>李安亭</t>
  </si>
  <si>
    <t>李文举</t>
  </si>
  <si>
    <t>赵永芳</t>
  </si>
  <si>
    <t>赵先朝</t>
  </si>
  <si>
    <t>赵德秀</t>
  </si>
  <si>
    <t>杨宏福</t>
  </si>
  <si>
    <t>李方义</t>
  </si>
  <si>
    <t>徐玲</t>
  </si>
  <si>
    <t>胡敬林</t>
  </si>
  <si>
    <t>赵由民</t>
  </si>
  <si>
    <t>张龙喜</t>
  </si>
  <si>
    <t>赵立成</t>
  </si>
  <si>
    <t>李贤义</t>
  </si>
  <si>
    <t>王光见</t>
  </si>
  <si>
    <t>王运东</t>
  </si>
  <si>
    <t>张志广</t>
  </si>
  <si>
    <t>代志田</t>
  </si>
  <si>
    <t>王永学</t>
  </si>
  <si>
    <t>代志忠</t>
  </si>
  <si>
    <t>邵士坤</t>
  </si>
  <si>
    <t>周圣西</t>
  </si>
  <si>
    <t>刘先才</t>
  </si>
  <si>
    <t>孙太民</t>
  </si>
  <si>
    <t>周茂腾</t>
  </si>
  <si>
    <t>宋继明</t>
  </si>
  <si>
    <t>江朝民</t>
  </si>
  <si>
    <t>赵广珍</t>
  </si>
  <si>
    <t>赵光英</t>
  </si>
  <si>
    <t>李安顺</t>
  </si>
  <si>
    <t>朱广成</t>
  </si>
  <si>
    <t>赵长艳</t>
  </si>
  <si>
    <t>翟红美</t>
  </si>
  <si>
    <t>易坤林</t>
  </si>
  <si>
    <t>裘玉山</t>
  </si>
  <si>
    <t>周方勇</t>
  </si>
  <si>
    <t>吴凤英</t>
  </si>
  <si>
    <t>储方可</t>
  </si>
  <si>
    <t>穆廷顺</t>
  </si>
  <si>
    <t>董运付</t>
  </si>
  <si>
    <t>朱云华</t>
  </si>
  <si>
    <t>赵中礼</t>
  </si>
  <si>
    <t>代志海</t>
  </si>
  <si>
    <t>陈望超</t>
  </si>
  <si>
    <t>祝德新</t>
  </si>
  <si>
    <t>赵成亮</t>
  </si>
  <si>
    <t>赵先社</t>
  </si>
  <si>
    <t>赵成瑞</t>
  </si>
  <si>
    <t>赵德良</t>
  </si>
  <si>
    <t>田小妹</t>
  </si>
  <si>
    <t>张士民</t>
  </si>
  <si>
    <t>魏克华</t>
  </si>
  <si>
    <t>李胜利</t>
  </si>
  <si>
    <t>高春华</t>
  </si>
  <si>
    <t>赵德礼</t>
  </si>
  <si>
    <t>任士民</t>
  </si>
  <si>
    <t>何茂生</t>
  </si>
  <si>
    <t>朱理平</t>
  </si>
  <si>
    <t>赵先华</t>
  </si>
  <si>
    <t>魏秀兰</t>
  </si>
  <si>
    <t>周智强</t>
  </si>
  <si>
    <t>董宏林</t>
  </si>
  <si>
    <t>蔡正大</t>
  </si>
  <si>
    <t>杜士民</t>
  </si>
  <si>
    <t>陈孝青</t>
  </si>
  <si>
    <t>张有红</t>
  </si>
  <si>
    <t>汪侠</t>
  </si>
  <si>
    <t>张运利</t>
  </si>
  <si>
    <t>王见军</t>
  </si>
  <si>
    <t>王永珂</t>
  </si>
  <si>
    <t>宋兴芝</t>
  </si>
  <si>
    <t>吴连节</t>
  </si>
  <si>
    <t>吕本要</t>
  </si>
  <si>
    <t>宋香玉</t>
  </si>
  <si>
    <t>贾银芳</t>
  </si>
  <si>
    <t>代红</t>
  </si>
  <si>
    <t>周胜辉</t>
  </si>
  <si>
    <t>汪淑萍</t>
  </si>
  <si>
    <t>郝龙奎</t>
  </si>
  <si>
    <t>魏昌民</t>
  </si>
  <si>
    <t>李三行</t>
  </si>
  <si>
    <t>黄翠华</t>
  </si>
  <si>
    <t>林允英</t>
  </si>
  <si>
    <t>赵永华</t>
  </si>
  <si>
    <t>刘文中</t>
  </si>
  <si>
    <t>郝宗峰</t>
  </si>
  <si>
    <t>陈士江</t>
  </si>
  <si>
    <t>程云</t>
  </si>
  <si>
    <t>徐春艳</t>
  </si>
  <si>
    <t>朱丽</t>
  </si>
  <si>
    <t>李涛</t>
  </si>
  <si>
    <t>赵先芝</t>
  </si>
  <si>
    <t>雷敬标</t>
  </si>
  <si>
    <t>李兴华</t>
  </si>
  <si>
    <t>刘正好</t>
  </si>
  <si>
    <t>张勇</t>
  </si>
  <si>
    <t>赵芹</t>
  </si>
  <si>
    <t>赵永红</t>
  </si>
  <si>
    <t>秦云</t>
  </si>
  <si>
    <t>桑三礼</t>
  </si>
  <si>
    <t>魏书侠</t>
  </si>
  <si>
    <t>高立景</t>
  </si>
  <si>
    <t>展新华</t>
  </si>
  <si>
    <t>赵新庄</t>
  </si>
  <si>
    <t>蔡积荣</t>
  </si>
  <si>
    <t>王德新</t>
  </si>
  <si>
    <t>宋八方</t>
  </si>
  <si>
    <t>宋贤征</t>
  </si>
  <si>
    <t>梁永义</t>
  </si>
  <si>
    <t>张莉</t>
  </si>
  <si>
    <t>费兰英</t>
  </si>
  <si>
    <t>陈洪俊</t>
  </si>
  <si>
    <t>李芹</t>
  </si>
  <si>
    <t>董宏伦</t>
  </si>
  <si>
    <t>沈铁华</t>
  </si>
  <si>
    <t>张解艳</t>
  </si>
  <si>
    <t>禹言民</t>
  </si>
  <si>
    <t>况卫东</t>
  </si>
  <si>
    <t>周志德</t>
  </si>
  <si>
    <t>刘怀民</t>
  </si>
  <si>
    <t>王光连</t>
  </si>
  <si>
    <t>何雪英</t>
  </si>
  <si>
    <t>刘淑敏</t>
  </si>
  <si>
    <t>李兴全</t>
  </si>
  <si>
    <t>马汝英</t>
  </si>
  <si>
    <t>赵德连</t>
  </si>
  <si>
    <t>彭祥春</t>
  </si>
  <si>
    <t>陈若举</t>
  </si>
  <si>
    <t>徐召永</t>
  </si>
  <si>
    <t>董决分</t>
  </si>
  <si>
    <t>陈永平</t>
  </si>
  <si>
    <t>储贤存</t>
  </si>
  <si>
    <t>董运亮</t>
  </si>
  <si>
    <t>王加敏</t>
  </si>
  <si>
    <t>李成</t>
  </si>
  <si>
    <t>朱建才</t>
  </si>
  <si>
    <t>赵峰</t>
  </si>
  <si>
    <t>赵先亮</t>
  </si>
  <si>
    <t>周淑玲</t>
  </si>
  <si>
    <t>吕本华</t>
  </si>
  <si>
    <t>李方树</t>
  </si>
  <si>
    <t>赵固峰</t>
  </si>
  <si>
    <t>刘正田</t>
  </si>
  <si>
    <t>赵永强</t>
  </si>
  <si>
    <t>王根成</t>
  </si>
  <si>
    <t>苏振亮</t>
  </si>
  <si>
    <t>赵大平</t>
  </si>
  <si>
    <t>赵永久</t>
  </si>
  <si>
    <t>代志良</t>
  </si>
  <si>
    <t>赵大伦</t>
  </si>
  <si>
    <t>徐永久</t>
  </si>
  <si>
    <t>沈淑梅</t>
  </si>
  <si>
    <t>哑女</t>
  </si>
  <si>
    <t>周怀君</t>
  </si>
  <si>
    <t>郝汝兰</t>
  </si>
  <si>
    <t>王美</t>
  </si>
  <si>
    <t>赵永锋</t>
  </si>
  <si>
    <t>丁加理</t>
  </si>
  <si>
    <t>赵永秀</t>
  </si>
  <si>
    <t>胡丹</t>
  </si>
  <si>
    <t>马然</t>
  </si>
  <si>
    <t>周茂彬</t>
  </si>
  <si>
    <t>周茂奎</t>
  </si>
  <si>
    <t>李广忠</t>
  </si>
  <si>
    <t>周力</t>
  </si>
  <si>
    <t>杨翠芳</t>
  </si>
  <si>
    <t>朱家安</t>
  </si>
  <si>
    <t>许启龙</t>
  </si>
  <si>
    <t>朱良广</t>
  </si>
  <si>
    <t>赵耿荣</t>
  </si>
  <si>
    <t>赵新华</t>
  </si>
  <si>
    <t>余明红</t>
  </si>
  <si>
    <t>周德平</t>
  </si>
  <si>
    <t>王彦清</t>
  </si>
  <si>
    <t>杨立丽</t>
  </si>
  <si>
    <t>孙存明</t>
  </si>
  <si>
    <t>郭玉芳</t>
  </si>
  <si>
    <t>苏维坡</t>
  </si>
  <si>
    <t>赵德化</t>
  </si>
  <si>
    <t>丁洁</t>
  </si>
  <si>
    <t>赵永军</t>
  </si>
  <si>
    <t>赵光明</t>
  </si>
  <si>
    <t>魏恒果</t>
  </si>
  <si>
    <t>赵吉员</t>
  </si>
  <si>
    <t>吴孝春</t>
  </si>
  <si>
    <t>赵安民</t>
  </si>
  <si>
    <t>孙宗岺</t>
  </si>
  <si>
    <t>李存忠</t>
  </si>
  <si>
    <t>梁开保</t>
  </si>
  <si>
    <t>杨哑叭</t>
  </si>
  <si>
    <t>马华</t>
  </si>
  <si>
    <t>赵辉</t>
  </si>
  <si>
    <t>秦德会</t>
  </si>
  <si>
    <t>赵德光</t>
  </si>
  <si>
    <t>宋兴流</t>
  </si>
  <si>
    <t>李健</t>
  </si>
  <si>
    <t>徐登召</t>
  </si>
  <si>
    <t>董运标</t>
  </si>
  <si>
    <t>周茂祥</t>
  </si>
  <si>
    <t>储启</t>
  </si>
  <si>
    <t>赵稳当</t>
  </si>
  <si>
    <t>王永季</t>
  </si>
  <si>
    <t>张宗明</t>
  </si>
  <si>
    <t>张传喜</t>
  </si>
  <si>
    <t>孙永胜</t>
  </si>
  <si>
    <t>赵永远</t>
  </si>
  <si>
    <t>储雪梅</t>
  </si>
  <si>
    <t>魏昌富</t>
  </si>
  <si>
    <t>木廷明</t>
  </si>
  <si>
    <t>宣自虎</t>
  </si>
  <si>
    <t>杨道芹</t>
  </si>
  <si>
    <t>梁长民</t>
  </si>
  <si>
    <t>王北镇</t>
  </si>
  <si>
    <t>杨庚</t>
  </si>
  <si>
    <t>张梅</t>
  </si>
  <si>
    <t>王西林</t>
  </si>
  <si>
    <t>花经部</t>
  </si>
  <si>
    <t>张淑梅</t>
  </si>
  <si>
    <t>木汤军</t>
  </si>
  <si>
    <t>赵中华</t>
  </si>
  <si>
    <t>宋计远</t>
  </si>
  <si>
    <t>赵孝华</t>
  </si>
  <si>
    <t>杨宜斌</t>
  </si>
  <si>
    <t>王涛</t>
  </si>
  <si>
    <t>费素玲</t>
  </si>
  <si>
    <t>赵先领</t>
  </si>
  <si>
    <t>况振</t>
  </si>
  <si>
    <t>赵彬</t>
  </si>
  <si>
    <t>曹银春</t>
  </si>
  <si>
    <t>张洪</t>
  </si>
  <si>
    <t>吴红</t>
  </si>
  <si>
    <t>禹英杰</t>
  </si>
  <si>
    <t>牛心乐</t>
  </si>
  <si>
    <t>宋良存</t>
  </si>
  <si>
    <t>李居访</t>
  </si>
  <si>
    <t>赵德伟</t>
  </si>
  <si>
    <t>黄峰</t>
  </si>
  <si>
    <t>丁昌军</t>
  </si>
  <si>
    <t>周茂峰</t>
  </si>
  <si>
    <t>李安军</t>
  </si>
  <si>
    <t>高铃当</t>
  </si>
  <si>
    <t>孙玉梅</t>
  </si>
  <si>
    <t>代志宣</t>
  </si>
  <si>
    <t>李克连</t>
  </si>
  <si>
    <t>孙新生</t>
  </si>
  <si>
    <t>李大高</t>
  </si>
  <si>
    <t>皇孝席</t>
  </si>
  <si>
    <t>郑德强</t>
  </si>
  <si>
    <t>赵团结</t>
  </si>
  <si>
    <t>李居华</t>
  </si>
  <si>
    <t>张保</t>
  </si>
  <si>
    <t>王西宁</t>
  </si>
  <si>
    <t>代志青</t>
  </si>
  <si>
    <t>高怀喜</t>
  </si>
  <si>
    <t>苏华</t>
  </si>
  <si>
    <t>董福元</t>
  </si>
  <si>
    <t>宋小翠</t>
  </si>
  <si>
    <t>陈联生</t>
  </si>
  <si>
    <t>木玉</t>
  </si>
  <si>
    <t>郑百善</t>
  </si>
  <si>
    <t>张成军</t>
  </si>
  <si>
    <t>郭新战</t>
  </si>
  <si>
    <t>雷战</t>
  </si>
  <si>
    <t>张艳玲</t>
  </si>
  <si>
    <t>杨连桂</t>
  </si>
  <si>
    <t>牛友可</t>
  </si>
  <si>
    <t>赵德浅</t>
  </si>
  <si>
    <t>李小方</t>
  </si>
  <si>
    <t>张加旺</t>
  </si>
  <si>
    <t>黄伟云</t>
  </si>
  <si>
    <t>周士亮</t>
  </si>
  <si>
    <t>赵刚强</t>
  </si>
  <si>
    <t>黄开敏</t>
  </si>
  <si>
    <t>杨锋</t>
  </si>
  <si>
    <t>代长銮</t>
  </si>
  <si>
    <t>张东梅</t>
  </si>
  <si>
    <t>任士坤</t>
  </si>
  <si>
    <t>赵太军</t>
  </si>
  <si>
    <t>王伟</t>
  </si>
  <si>
    <t>王长干</t>
  </si>
  <si>
    <t>秦乐意</t>
  </si>
  <si>
    <t>魏计峰</t>
  </si>
  <si>
    <t>张龙海</t>
  </si>
  <si>
    <t>张玉停</t>
  </si>
  <si>
    <t>邵存钱</t>
  </si>
  <si>
    <t>高超</t>
  </si>
  <si>
    <t>朱学理</t>
  </si>
  <si>
    <t>朱美玲</t>
  </si>
  <si>
    <t>陈大汉</t>
  </si>
  <si>
    <t>赵永礼</t>
  </si>
  <si>
    <t>储方山</t>
  </si>
  <si>
    <t>王建</t>
  </si>
  <si>
    <t>徐宏建</t>
  </si>
  <si>
    <t>宗瑞杰</t>
  </si>
  <si>
    <t>雷建</t>
  </si>
  <si>
    <t>周士好</t>
  </si>
  <si>
    <t>牛金芳</t>
  </si>
  <si>
    <t>王昌平</t>
  </si>
  <si>
    <t>魏昌圣</t>
  </si>
  <si>
    <t>赵先飞</t>
  </si>
  <si>
    <t>赵士君</t>
  </si>
  <si>
    <t>赵长军</t>
  </si>
  <si>
    <t>王之灵</t>
  </si>
  <si>
    <t>穆庭军</t>
  </si>
  <si>
    <t>苏国强</t>
  </si>
  <si>
    <t>董昌伦</t>
  </si>
  <si>
    <t>何德连</t>
  </si>
  <si>
    <t>赵永明</t>
  </si>
  <si>
    <t>魏成群</t>
  </si>
  <si>
    <t>费家线</t>
  </si>
  <si>
    <t>刘桂侠</t>
  </si>
  <si>
    <t>雷敬英</t>
  </si>
  <si>
    <t>代长胜</t>
  </si>
  <si>
    <t>魏东京</t>
  </si>
  <si>
    <t>蔺根新</t>
  </si>
  <si>
    <t>周中平</t>
  </si>
  <si>
    <t>乔龙良</t>
  </si>
  <si>
    <t>吕群颖</t>
  </si>
  <si>
    <t>王永信</t>
  </si>
  <si>
    <t>赵科产</t>
  </si>
  <si>
    <t>谢宝山</t>
  </si>
  <si>
    <t>魏成学</t>
  </si>
  <si>
    <t>赵洪亮</t>
  </si>
  <si>
    <t>周爱玲</t>
  </si>
  <si>
    <t>杜士喜</t>
  </si>
  <si>
    <t>陈永强</t>
  </si>
  <si>
    <t>孟文章</t>
  </si>
  <si>
    <t>杜圆明</t>
  </si>
  <si>
    <t>孟凡明</t>
  </si>
  <si>
    <t>赵秀丽</t>
  </si>
  <si>
    <t>孟长远</t>
  </si>
  <si>
    <t>魏克明</t>
  </si>
  <si>
    <t>蔡士社</t>
  </si>
  <si>
    <t>张传永</t>
  </si>
  <si>
    <t>吴思海</t>
  </si>
  <si>
    <t>陈宿县</t>
  </si>
  <si>
    <t>王守业</t>
  </si>
  <si>
    <t>周建学</t>
  </si>
  <si>
    <t>赵敬萍</t>
  </si>
  <si>
    <t>吴连德</t>
  </si>
  <si>
    <t>马小金</t>
  </si>
  <si>
    <t>李居志</t>
  </si>
  <si>
    <t>邵备战</t>
  </si>
  <si>
    <t>何茂军</t>
  </si>
  <si>
    <t>肖朝华</t>
  </si>
  <si>
    <t>何良树</t>
  </si>
  <si>
    <t>孙中亮</t>
  </si>
  <si>
    <t>梁永利</t>
  </si>
  <si>
    <t>王辉</t>
  </si>
  <si>
    <t>穆廷金</t>
  </si>
  <si>
    <t>王金山</t>
  </si>
  <si>
    <t>蔡晓锋</t>
  </si>
  <si>
    <t>陈安灰</t>
  </si>
  <si>
    <t>王朝影</t>
  </si>
  <si>
    <t>赵德庆</t>
  </si>
  <si>
    <t>赵先钦</t>
  </si>
  <si>
    <t>王满意</t>
  </si>
  <si>
    <t>魏文件</t>
  </si>
  <si>
    <t>代长江</t>
  </si>
  <si>
    <t>费加忠</t>
  </si>
  <si>
    <t>李亚军</t>
  </si>
  <si>
    <t>赵光</t>
  </si>
  <si>
    <t>穆启宾</t>
  </si>
  <si>
    <t>代超</t>
  </si>
  <si>
    <t>代礼水</t>
  </si>
  <si>
    <t>赵晓东</t>
  </si>
  <si>
    <t>张守彬</t>
  </si>
  <si>
    <t>代毛咪</t>
  </si>
  <si>
    <t>赵先良</t>
  </si>
  <si>
    <t>代志龙</t>
  </si>
  <si>
    <t>宋兴利</t>
  </si>
  <si>
    <t>刘怀志</t>
  </si>
  <si>
    <t>赵耿龙</t>
  </si>
  <si>
    <t>李维林</t>
  </si>
  <si>
    <t>赵郦</t>
  </si>
  <si>
    <t>刘长强</t>
  </si>
  <si>
    <t>赵得亮</t>
  </si>
  <si>
    <t>刘杰</t>
  </si>
  <si>
    <t>李解放</t>
  </si>
  <si>
    <t>周方战</t>
  </si>
  <si>
    <t>储贤勇</t>
  </si>
  <si>
    <t>赵建平</t>
  </si>
  <si>
    <t>李毛</t>
  </si>
  <si>
    <t>郭怀玉</t>
  </si>
  <si>
    <t>陈健</t>
  </si>
  <si>
    <t>费建军</t>
  </si>
  <si>
    <t>李建成</t>
  </si>
  <si>
    <t>张文侠</t>
  </si>
  <si>
    <t>代长红</t>
  </si>
  <si>
    <t>陈强</t>
  </si>
  <si>
    <t>王崇梅</t>
  </si>
  <si>
    <t>陈传文</t>
  </si>
  <si>
    <t>周团营</t>
  </si>
  <si>
    <t>李建</t>
  </si>
  <si>
    <t>赵丹</t>
  </si>
  <si>
    <t>王理想</t>
  </si>
  <si>
    <t>陈蒙</t>
  </si>
  <si>
    <t>晁文学</t>
  </si>
  <si>
    <t>皇新华</t>
  </si>
  <si>
    <t>高六合</t>
  </si>
  <si>
    <t>代长伟</t>
  </si>
  <si>
    <t>马庭</t>
  </si>
  <si>
    <t>宋清</t>
  </si>
  <si>
    <t>赵士磊</t>
  </si>
  <si>
    <t>郝南京</t>
  </si>
  <si>
    <t>李安业</t>
  </si>
  <si>
    <t>张桂荣</t>
  </si>
  <si>
    <t>侯辉园</t>
  </si>
  <si>
    <t>周明金</t>
  </si>
  <si>
    <t>魏成英</t>
  </si>
  <si>
    <t>侯毛高</t>
  </si>
  <si>
    <t>费家友</t>
  </si>
  <si>
    <t>穆毛孩</t>
  </si>
  <si>
    <t>李祥峰</t>
  </si>
  <si>
    <t>李宏坤</t>
  </si>
  <si>
    <t>高江泉</t>
  </si>
  <si>
    <t>陈宜龙</t>
  </si>
  <si>
    <t>刘哑吧</t>
  </si>
  <si>
    <t>宗泽浩</t>
  </si>
  <si>
    <t>蔡露</t>
  </si>
  <si>
    <t>赵春节</t>
  </si>
  <si>
    <t>蔡保秋</t>
  </si>
  <si>
    <t>赵丰收</t>
  </si>
  <si>
    <t>徐二群</t>
  </si>
  <si>
    <t>赵大校</t>
  </si>
  <si>
    <t>张新民</t>
  </si>
  <si>
    <t>李道军</t>
  </si>
  <si>
    <t>魏参军</t>
  </si>
  <si>
    <t>李建福</t>
  </si>
  <si>
    <t>沈宗柱</t>
  </si>
  <si>
    <t>王锋</t>
  </si>
  <si>
    <t>魏本观</t>
  </si>
  <si>
    <t>王新伍</t>
  </si>
  <si>
    <t>杨化元</t>
  </si>
  <si>
    <t>赵双桥</t>
  </si>
  <si>
    <t>王天宏</t>
  </si>
  <si>
    <t>贾跟标</t>
  </si>
  <si>
    <t>张工作</t>
  </si>
  <si>
    <t>赵强</t>
  </si>
  <si>
    <t>王敬</t>
  </si>
  <si>
    <t>郝许兰</t>
  </si>
  <si>
    <t>赵钱华</t>
  </si>
  <si>
    <t>陈四辈</t>
  </si>
  <si>
    <t>何宿县</t>
  </si>
  <si>
    <t>贾敬亮</t>
  </si>
  <si>
    <t>赵高峰</t>
  </si>
  <si>
    <t>单言磊</t>
  </si>
  <si>
    <t>周雷雷</t>
  </si>
  <si>
    <t>赵广德</t>
  </si>
  <si>
    <t>赵成新</t>
  </si>
  <si>
    <t>李振峰</t>
  </si>
  <si>
    <t>赵中元</t>
  </si>
  <si>
    <t>赵艳丽</t>
  </si>
  <si>
    <t>代中亚</t>
  </si>
  <si>
    <t>马军</t>
  </si>
  <si>
    <t>魏颖</t>
  </si>
  <si>
    <t>杜山里</t>
  </si>
  <si>
    <t>赵艳</t>
  </si>
  <si>
    <t>晁小敏</t>
  </si>
  <si>
    <t>吴存华</t>
  </si>
  <si>
    <t>赵光辉</t>
  </si>
  <si>
    <t>朱长征</t>
  </si>
  <si>
    <t>周丹</t>
  </si>
  <si>
    <t>李有亮</t>
  </si>
  <si>
    <t>张影</t>
  </si>
  <si>
    <t>高思剑</t>
  </si>
  <si>
    <t>吕本于</t>
  </si>
  <si>
    <t>江流洋</t>
  </si>
  <si>
    <t>李玲艳</t>
  </si>
  <si>
    <t>黄四喜</t>
  </si>
  <si>
    <t>赵飞</t>
  </si>
  <si>
    <t>陈用</t>
  </si>
  <si>
    <t>晁戏杨</t>
  </si>
  <si>
    <t>刘峰</t>
  </si>
  <si>
    <t>董伟伟</t>
  </si>
  <si>
    <t>张仪</t>
  </si>
  <si>
    <t>陈晓东</t>
  </si>
  <si>
    <t>赵鹏程</t>
  </si>
  <si>
    <t>王丰收</t>
  </si>
  <si>
    <t>赵毛丽</t>
  </si>
  <si>
    <t>刘杠</t>
  </si>
  <si>
    <t>赵士昂</t>
  </si>
  <si>
    <t>蔡子龙</t>
  </si>
  <si>
    <t>郝顺利</t>
  </si>
  <si>
    <t>王碧云</t>
  </si>
  <si>
    <t>雷彪</t>
  </si>
  <si>
    <t>董亚飞</t>
  </si>
  <si>
    <t>王瑞念</t>
  </si>
  <si>
    <t>魏本宝</t>
  </si>
  <si>
    <t>谢晋晋</t>
  </si>
  <si>
    <t>吕改进</t>
  </si>
  <si>
    <t>周士伟</t>
  </si>
  <si>
    <t>张幸福</t>
  </si>
  <si>
    <t>徐伟</t>
  </si>
  <si>
    <t>赵孝民</t>
  </si>
  <si>
    <t>赵大高</t>
  </si>
  <si>
    <t>杨云磊</t>
  </si>
  <si>
    <t>李标</t>
  </si>
  <si>
    <t>张永生</t>
  </si>
  <si>
    <t>周天宝</t>
  </si>
  <si>
    <t>赵轩</t>
  </si>
  <si>
    <t>任精干</t>
  </si>
  <si>
    <t>李方云</t>
  </si>
  <si>
    <t>木雷廷</t>
  </si>
  <si>
    <t>花中祥</t>
  </si>
  <si>
    <t>孙志虎</t>
  </si>
  <si>
    <t>刘洋</t>
  </si>
  <si>
    <t>刘海洋</t>
  </si>
  <si>
    <t>赵功金</t>
  </si>
  <si>
    <t>曹艳坤</t>
  </si>
  <si>
    <t>易银银</t>
  </si>
  <si>
    <t>周影影</t>
  </si>
  <si>
    <t>赵士民</t>
  </si>
  <si>
    <t>张席席</t>
  </si>
  <si>
    <t>朱香玉</t>
  </si>
  <si>
    <t>刘立芳</t>
  </si>
  <si>
    <t>代露</t>
  </si>
  <si>
    <t>周广</t>
  </si>
  <si>
    <t>张院院</t>
  </si>
  <si>
    <t>赵康康</t>
  </si>
  <si>
    <t>张祥祥</t>
  </si>
  <si>
    <t>张倩倩</t>
  </si>
  <si>
    <t>王瑞雪</t>
  </si>
  <si>
    <t>代红河</t>
  </si>
  <si>
    <t>李咸委</t>
  </si>
  <si>
    <t>张乾峰</t>
  </si>
  <si>
    <t>郝贝贝</t>
  </si>
  <si>
    <t>张玲</t>
  </si>
  <si>
    <t>马庆</t>
  </si>
  <si>
    <t>赵冬生</t>
  </si>
  <si>
    <t>赵鹏</t>
  </si>
  <si>
    <t>魏华元</t>
  </si>
  <si>
    <t>陈令飞</t>
  </si>
  <si>
    <t>刘忠启</t>
  </si>
  <si>
    <t>蔡久久</t>
  </si>
  <si>
    <t>黄灵燕</t>
  </si>
  <si>
    <t>费腾飞</t>
  </si>
  <si>
    <t>代龙龙</t>
  </si>
  <si>
    <t>吴飞雨</t>
  </si>
  <si>
    <t>胡梦珂</t>
  </si>
  <si>
    <t>何洋</t>
  </si>
  <si>
    <t>赵永贤</t>
  </si>
  <si>
    <t>郑礼平</t>
  </si>
  <si>
    <t>李成龙</t>
  </si>
  <si>
    <t>刘秀秀</t>
  </si>
  <si>
    <t>杨春碧</t>
  </si>
  <si>
    <t>张浩东</t>
  </si>
  <si>
    <t>曹锦</t>
  </si>
  <si>
    <t>赵大庆</t>
  </si>
  <si>
    <t>张盛</t>
  </si>
  <si>
    <t>李飞</t>
  </si>
  <si>
    <t>贾小龙</t>
  </si>
  <si>
    <t>董伟豪</t>
  </si>
  <si>
    <t>孟庆侠</t>
  </si>
  <si>
    <t>彭一行</t>
  </si>
  <si>
    <t>魏艳</t>
  </si>
  <si>
    <t>陆莲</t>
  </si>
  <si>
    <t>李坤龙</t>
  </si>
  <si>
    <t>孙中技</t>
  </si>
  <si>
    <t>魏昌义</t>
  </si>
  <si>
    <t>于丹丹</t>
  </si>
  <si>
    <t>李明亮</t>
  </si>
  <si>
    <t>董昌明</t>
  </si>
  <si>
    <t>徐素珍</t>
  </si>
  <si>
    <t>林允家</t>
  </si>
  <si>
    <t>赵中正</t>
  </si>
  <si>
    <t>李庆芬</t>
  </si>
  <si>
    <t>胡明华</t>
  </si>
  <si>
    <t>赵祖建</t>
  </si>
  <si>
    <t>杨玉芝</t>
  </si>
  <si>
    <t>宋兴连</t>
  </si>
  <si>
    <t>孙宜翠</t>
  </si>
  <si>
    <t>储方桥</t>
  </si>
  <si>
    <t>况开俊</t>
  </si>
  <si>
    <t>宋晓新</t>
  </si>
  <si>
    <t>赵先兴</t>
  </si>
  <si>
    <t>陈黎明</t>
  </si>
  <si>
    <t>况皖西</t>
  </si>
  <si>
    <t>张伟</t>
  </si>
  <si>
    <t>郝先桂</t>
  </si>
  <si>
    <t>李祥中</t>
  </si>
  <si>
    <t>谢敬程</t>
  </si>
  <si>
    <t>陈玲</t>
  </si>
  <si>
    <t>晁元玲</t>
  </si>
  <si>
    <t>曹明兰</t>
  </si>
  <si>
    <t>桂开良</t>
  </si>
  <si>
    <t>林为均</t>
  </si>
  <si>
    <t>赵庆红</t>
  </si>
  <si>
    <t>赵纯光</t>
  </si>
  <si>
    <t>桂宏路</t>
  </si>
  <si>
    <t>薛庆远</t>
  </si>
  <si>
    <t>孙安忠</t>
  </si>
  <si>
    <t>周圣存</t>
  </si>
  <si>
    <t>赵永宽</t>
  </si>
  <si>
    <t>倪启征</t>
  </si>
  <si>
    <t>殷得法</t>
  </si>
  <si>
    <t>吕新安</t>
  </si>
  <si>
    <t>单艳</t>
  </si>
  <si>
    <t>桂东京</t>
  </si>
  <si>
    <t>马娟</t>
  </si>
  <si>
    <t>宋东海</t>
  </si>
  <si>
    <t>黄猛</t>
  </si>
  <si>
    <t>赵明亮</t>
  </si>
  <si>
    <t>周世光</t>
  </si>
  <si>
    <t>赵光亮</t>
  </si>
  <si>
    <t>陈书芳</t>
  </si>
  <si>
    <t>周圣艳</t>
  </si>
  <si>
    <t>赵宗礼</t>
  </si>
  <si>
    <t>何德锋</t>
  </si>
  <si>
    <t>何亚</t>
  </si>
  <si>
    <t>张丙言</t>
  </si>
  <si>
    <t>李居胜</t>
  </si>
  <si>
    <t>李键</t>
  </si>
  <si>
    <t>赵豆豆</t>
  </si>
  <si>
    <t>孟现志</t>
  </si>
  <si>
    <t>李存英</t>
  </si>
  <si>
    <t>李维敬</t>
  </si>
  <si>
    <t>费玉兰</t>
  </si>
  <si>
    <t>雷修胜</t>
  </si>
  <si>
    <t>董运领</t>
  </si>
  <si>
    <t>赵德银</t>
  </si>
  <si>
    <t>雷敬岗</t>
  </si>
  <si>
    <t>陈书亮</t>
  </si>
  <si>
    <t>况开芳</t>
  </si>
  <si>
    <t>赵德荣</t>
  </si>
  <si>
    <t>杨克章</t>
  </si>
  <si>
    <t>李良华</t>
  </si>
  <si>
    <t>董东风</t>
  </si>
  <si>
    <t>任启龙</t>
  </si>
  <si>
    <t>穆廷英</t>
  </si>
  <si>
    <t>赵林</t>
  </si>
  <si>
    <t>杨宏军</t>
  </si>
  <si>
    <t>邵存礼</t>
  </si>
  <si>
    <t>王丽</t>
  </si>
  <si>
    <t>张庆红</t>
  </si>
  <si>
    <t>刘发亮</t>
  </si>
  <si>
    <t>郑永芳</t>
  </si>
  <si>
    <t>刘运刚</t>
  </si>
  <si>
    <t>王明松</t>
  </si>
  <si>
    <t>郝汝文</t>
  </si>
  <si>
    <t>孟艳</t>
  </si>
  <si>
    <t>周艳芬</t>
  </si>
  <si>
    <t>张进</t>
  </si>
  <si>
    <t>黄艳梅</t>
  </si>
  <si>
    <t>闫四刚</t>
  </si>
  <si>
    <t>郑晓梅</t>
  </si>
  <si>
    <t>李贝</t>
  </si>
  <si>
    <t>代志全</t>
  </si>
  <si>
    <t>马锁</t>
  </si>
  <si>
    <t>曹顺党</t>
  </si>
  <si>
    <t>侯兆强</t>
  </si>
  <si>
    <t>赵微</t>
  </si>
  <si>
    <t>代志刚</t>
  </si>
  <si>
    <t>吕本峰</t>
  </si>
  <si>
    <t>赵忠宏</t>
  </si>
  <si>
    <t>宗翠梅</t>
  </si>
  <si>
    <t>万金明</t>
  </si>
  <si>
    <t>张开言</t>
  </si>
  <si>
    <t>董南南</t>
  </si>
  <si>
    <t>张忍忍</t>
  </si>
  <si>
    <t>杨凯</t>
  </si>
  <si>
    <t>穆飞彩</t>
  </si>
  <si>
    <t>赵影</t>
  </si>
  <si>
    <t>杜子龙</t>
  </si>
  <si>
    <t>李小龙</t>
  </si>
  <si>
    <t>赵雷</t>
  </si>
  <si>
    <t>王芝荣</t>
  </si>
  <si>
    <t>代志利</t>
  </si>
  <si>
    <t>陈家祥</t>
  </si>
  <si>
    <t>孟杜氏</t>
  </si>
  <si>
    <t>陈允忠</t>
  </si>
  <si>
    <t>郝传耐</t>
  </si>
  <si>
    <t>杨青己</t>
  </si>
  <si>
    <t>吴广田</t>
  </si>
  <si>
    <t>马天秀</t>
  </si>
  <si>
    <t>郭学英</t>
  </si>
  <si>
    <t>蔡永康</t>
  </si>
  <si>
    <t>吴连群</t>
  </si>
  <si>
    <t>代长乐</t>
  </si>
  <si>
    <t>常青荣</t>
  </si>
  <si>
    <t>王君良</t>
  </si>
  <si>
    <t>孙太义</t>
  </si>
  <si>
    <t>李文书</t>
  </si>
  <si>
    <t>刘金波</t>
  </si>
  <si>
    <t>刘先侠</t>
  </si>
  <si>
    <t>曹正伟</t>
  </si>
  <si>
    <t>单言福</t>
  </si>
  <si>
    <t>陈乃西</t>
  </si>
  <si>
    <t>李端芝</t>
  </si>
  <si>
    <t>陈钦亮</t>
  </si>
  <si>
    <t>曹大玉</t>
  </si>
  <si>
    <t>胥千里</t>
  </si>
  <si>
    <t>魏勇敢</t>
  </si>
  <si>
    <t>陈振</t>
  </si>
  <si>
    <t>陈丹丹</t>
  </si>
  <si>
    <t>宋乐义</t>
  </si>
  <si>
    <t>代金席</t>
  </si>
  <si>
    <t>代志状</t>
  </si>
  <si>
    <t>夏孝亮</t>
  </si>
  <si>
    <t>孙卫东</t>
  </si>
  <si>
    <t>李峰</t>
  </si>
  <si>
    <t>付志合</t>
  </si>
  <si>
    <t>赵贤要</t>
  </si>
  <si>
    <t>李化全</t>
  </si>
  <si>
    <t>史圣兰</t>
  </si>
  <si>
    <t>荣心华</t>
  </si>
  <si>
    <t>陈允亮</t>
  </si>
  <si>
    <t>陈若玲</t>
  </si>
  <si>
    <t>杨翠荣</t>
  </si>
  <si>
    <t>赵士田</t>
  </si>
  <si>
    <t>何红雪</t>
  </si>
  <si>
    <t>吕希平</t>
  </si>
  <si>
    <t>董昌彦</t>
  </si>
  <si>
    <t>赵永点</t>
  </si>
  <si>
    <t>张守银</t>
  </si>
  <si>
    <t>赵允先</t>
  </si>
  <si>
    <t>秦胜文</t>
  </si>
  <si>
    <t>邱培英</t>
  </si>
  <si>
    <t>王爱华</t>
  </si>
  <si>
    <t>沈维芹</t>
  </si>
  <si>
    <t>张先坤</t>
  </si>
  <si>
    <t>赵德坤</t>
  </si>
  <si>
    <t>施凤梅</t>
  </si>
  <si>
    <t>吴珊</t>
  </si>
  <si>
    <t>郝汝田</t>
  </si>
  <si>
    <t>杨敏</t>
  </si>
  <si>
    <t>何德芳</t>
  </si>
  <si>
    <t>赵集</t>
  </si>
  <si>
    <t>易运领</t>
  </si>
  <si>
    <t>陈其杆</t>
  </si>
  <si>
    <t>乔龙虎</t>
  </si>
  <si>
    <t>杨宏利</t>
  </si>
  <si>
    <t>谢玲</t>
  </si>
  <si>
    <t>雷磊</t>
  </si>
  <si>
    <t>张加宇</t>
  </si>
  <si>
    <t>吴岩</t>
  </si>
  <si>
    <t>宋喜洋</t>
  </si>
  <si>
    <t>况一菲</t>
  </si>
  <si>
    <t>郭兰英</t>
  </si>
  <si>
    <t>桑兰英</t>
  </si>
  <si>
    <t>赵志亮</t>
  </si>
  <si>
    <t>李沛伦</t>
  </si>
  <si>
    <t>何淑英</t>
  </si>
  <si>
    <t>王敬平</t>
  </si>
  <si>
    <t>贾尚</t>
  </si>
  <si>
    <t>李化宽</t>
  </si>
  <si>
    <t>赵金领</t>
  </si>
  <si>
    <t>吴成海</t>
  </si>
  <si>
    <t>张守超</t>
  </si>
  <si>
    <t>金运动</t>
  </si>
  <si>
    <t>储振</t>
  </si>
  <si>
    <t>张运勤</t>
  </si>
  <si>
    <t>刘志超</t>
  </si>
  <si>
    <t>赵文件</t>
  </si>
  <si>
    <t>苏光源</t>
  </si>
  <si>
    <t>王光文</t>
  </si>
  <si>
    <t>李娟</t>
  </si>
  <si>
    <t>张金凤</t>
  </si>
  <si>
    <t>钱爱文</t>
  </si>
  <si>
    <t>费传锋</t>
  </si>
  <si>
    <t>沈文芳</t>
  </si>
  <si>
    <t>赵子健</t>
  </si>
  <si>
    <t>杨春迎</t>
  </si>
  <si>
    <t>邵李氏</t>
  </si>
  <si>
    <t>彭士华</t>
  </si>
  <si>
    <t>李居芹</t>
  </si>
  <si>
    <t>王芝民</t>
  </si>
  <si>
    <t>许洪美</t>
  </si>
  <si>
    <t>黄金荣</t>
  </si>
  <si>
    <t>胡德侠</t>
  </si>
  <si>
    <t>黄翠兰</t>
  </si>
  <si>
    <t>刘玉怀</t>
  </si>
  <si>
    <t>唐秀英</t>
  </si>
  <si>
    <t>杜兰平</t>
  </si>
  <si>
    <t>李端玉</t>
  </si>
  <si>
    <t>丁怀兰</t>
  </si>
  <si>
    <t>王兰英</t>
  </si>
  <si>
    <t>候生兰</t>
  </si>
  <si>
    <t>张青册</t>
  </si>
  <si>
    <t>王克安</t>
  </si>
  <si>
    <t>赵彩侠</t>
  </si>
  <si>
    <t>邵广华</t>
  </si>
  <si>
    <t>江绍宇</t>
  </si>
  <si>
    <t>张宗兰</t>
  </si>
  <si>
    <t>王敏</t>
  </si>
  <si>
    <t>翟志芹</t>
  </si>
  <si>
    <t>赵凤英</t>
  </si>
  <si>
    <t>王春梅</t>
  </si>
  <si>
    <t>董宏卫</t>
  </si>
  <si>
    <t>戚贵芹</t>
  </si>
  <si>
    <t>赵明</t>
  </si>
  <si>
    <t>王雪华</t>
  </si>
  <si>
    <t>赵翠兰</t>
  </si>
  <si>
    <t>哑吧</t>
  </si>
  <si>
    <t>赵梅</t>
  </si>
  <si>
    <t>费秀云</t>
  </si>
  <si>
    <t>王停飞</t>
  </si>
  <si>
    <t>黄亚</t>
  </si>
  <si>
    <t>高进</t>
  </si>
  <si>
    <t>杨备战</t>
  </si>
  <si>
    <t>孙金敏</t>
  </si>
  <si>
    <t>沈飞</t>
  </si>
  <si>
    <t>赵愉快</t>
  </si>
  <si>
    <t>陈昌孩</t>
  </si>
  <si>
    <t>王雷</t>
  </si>
  <si>
    <t>周红琳</t>
  </si>
  <si>
    <t>董昌启</t>
  </si>
  <si>
    <t>董瑞</t>
  </si>
  <si>
    <t>樊君宇</t>
  </si>
  <si>
    <t>张洋</t>
  </si>
  <si>
    <t>宋贤生</t>
  </si>
  <si>
    <t>代长山</t>
  </si>
  <si>
    <t>李传民</t>
  </si>
  <si>
    <t>孙康康</t>
  </si>
  <si>
    <t>秦望新</t>
  </si>
  <si>
    <t>杨新怡</t>
  </si>
  <si>
    <t>黄元平</t>
  </si>
  <si>
    <t>张燕舞</t>
  </si>
  <si>
    <t>李子俊</t>
  </si>
  <si>
    <t>王强</t>
  </si>
  <si>
    <t>贯辉</t>
  </si>
  <si>
    <t>李子默</t>
  </si>
  <si>
    <t>徐敬伟</t>
  </si>
  <si>
    <t>王加宽</t>
  </si>
  <si>
    <t>陈若龙</t>
  </si>
  <si>
    <t>王加珍</t>
  </si>
  <si>
    <t>张李氏</t>
  </si>
  <si>
    <t>侯辉成</t>
  </si>
  <si>
    <t>徐龙分</t>
  </si>
  <si>
    <t>王芝云</t>
  </si>
  <si>
    <t>赵贤俊</t>
  </si>
  <si>
    <t>陈长礼</t>
  </si>
  <si>
    <t>杜元圣</t>
  </si>
  <si>
    <t>赵景英</t>
  </si>
  <si>
    <t>李兴加</t>
  </si>
  <si>
    <t>赵孝德</t>
  </si>
  <si>
    <t>翟立军</t>
  </si>
  <si>
    <t>王秀兰</t>
  </si>
  <si>
    <t>吴广海</t>
  </si>
  <si>
    <t>蔡永跃</t>
  </si>
  <si>
    <t>郝传元</t>
  </si>
  <si>
    <t>陈士俭</t>
  </si>
  <si>
    <t>陈品学</t>
  </si>
  <si>
    <t>郭占英</t>
  </si>
  <si>
    <t>李玉华</t>
  </si>
  <si>
    <t>牛孝顺</t>
  </si>
  <si>
    <t>王瑞信</t>
  </si>
  <si>
    <t>秦品志</t>
  </si>
  <si>
    <t>陈宜学</t>
  </si>
  <si>
    <t>贾培云</t>
  </si>
  <si>
    <t>王齐理</t>
  </si>
  <si>
    <t>吕宗林</t>
  </si>
  <si>
    <t>李玉坤</t>
  </si>
  <si>
    <t>王敬奎</t>
  </si>
  <si>
    <t>陈钦力</t>
  </si>
  <si>
    <t>马志田</t>
  </si>
  <si>
    <t>张守信</t>
  </si>
  <si>
    <t>陈廷祥</t>
  </si>
  <si>
    <t>史华</t>
  </si>
  <si>
    <t>赵德成</t>
  </si>
  <si>
    <t>沈为金</t>
  </si>
  <si>
    <t>陈士才</t>
  </si>
  <si>
    <t>陈永军</t>
  </si>
  <si>
    <t>刘乾苗</t>
  </si>
  <si>
    <t>马宗昌</t>
  </si>
  <si>
    <t>常士先</t>
  </si>
  <si>
    <t>毛传民</t>
  </si>
  <si>
    <t>陈宜贤</t>
  </si>
  <si>
    <t>刘义侠</t>
  </si>
  <si>
    <t>陈钦坤</t>
  </si>
  <si>
    <t>徐侠</t>
  </si>
  <si>
    <t>赵民</t>
  </si>
  <si>
    <t>张纪平</t>
  </si>
  <si>
    <t>赵凯</t>
  </si>
  <si>
    <t>况开勤</t>
  </si>
  <si>
    <t>魏恒明</t>
  </si>
  <si>
    <t>张广军</t>
  </si>
  <si>
    <t>李文荣</t>
  </si>
  <si>
    <t>刘付东</t>
  </si>
  <si>
    <t>张守君</t>
  </si>
  <si>
    <t>陈建军</t>
  </si>
  <si>
    <t>陈宜坤</t>
  </si>
  <si>
    <t>邢淑华</t>
  </si>
  <si>
    <t>赵孝军</t>
  </si>
  <si>
    <t>郑雨田</t>
  </si>
  <si>
    <t>孙存安</t>
  </si>
  <si>
    <t>夏德安</t>
  </si>
  <si>
    <t>吕宗华</t>
  </si>
  <si>
    <t>赵井刚</t>
  </si>
  <si>
    <t>李玉田</t>
  </si>
  <si>
    <t>邱广明</t>
  </si>
  <si>
    <t>张治英</t>
  </si>
  <si>
    <t>赵德进</t>
  </si>
  <si>
    <t>李书英</t>
  </si>
  <si>
    <t>赵忠文</t>
  </si>
  <si>
    <t>刘文海</t>
  </si>
  <si>
    <t>李伟</t>
  </si>
  <si>
    <t>朱翠兰</t>
  </si>
  <si>
    <t>赵孝刚</t>
  </si>
  <si>
    <t>吕希光</t>
  </si>
  <si>
    <t>赵红梅</t>
  </si>
  <si>
    <t>黄井民</t>
  </si>
  <si>
    <t>赵中运</t>
  </si>
  <si>
    <t>木汤永</t>
  </si>
  <si>
    <t>王纯兵</t>
  </si>
  <si>
    <t>杨庆芳</t>
  </si>
  <si>
    <t>赵长平</t>
  </si>
  <si>
    <t>何德科</t>
  </si>
  <si>
    <t>赵德义</t>
  </si>
  <si>
    <t>魏昌文</t>
  </si>
  <si>
    <t>李维学</t>
  </si>
  <si>
    <t>沈玉玲</t>
  </si>
  <si>
    <t>赵长民</t>
  </si>
  <si>
    <t>魏红军</t>
  </si>
  <si>
    <t>赵永西</t>
  </si>
  <si>
    <t>雷敬红</t>
  </si>
  <si>
    <t>李勇</t>
  </si>
  <si>
    <t>王大抓</t>
  </si>
  <si>
    <t>李银成</t>
  </si>
  <si>
    <t>赵德华</t>
  </si>
  <si>
    <t>贾建</t>
  </si>
  <si>
    <t>周怀汉</t>
  </si>
  <si>
    <t>费玉苗</t>
  </si>
  <si>
    <t>赵光怀</t>
  </si>
  <si>
    <t>魏昌学</t>
  </si>
  <si>
    <t>张宝</t>
  </si>
  <si>
    <t>陈士端</t>
  </si>
  <si>
    <t>姜秀辉</t>
  </si>
  <si>
    <t>赵士伟</t>
  </si>
  <si>
    <t>黄平</t>
  </si>
  <si>
    <t>陈若宣</t>
  </si>
  <si>
    <t>郭祥</t>
  </si>
  <si>
    <t>朱良华</t>
  </si>
  <si>
    <t>刘斌</t>
  </si>
  <si>
    <t>王永福</t>
  </si>
  <si>
    <t>秦前进</t>
  </si>
  <si>
    <t>郝宗启</t>
  </si>
  <si>
    <t>穆廷元</t>
  </si>
  <si>
    <t>徐勇</t>
  </si>
  <si>
    <t>张学忠</t>
  </si>
  <si>
    <t>李振杰</t>
  </si>
  <si>
    <t>赵德前</t>
  </si>
  <si>
    <t>蔡宿县</t>
  </si>
  <si>
    <t>赵勇刚</t>
  </si>
  <si>
    <t>徐光全</t>
  </si>
  <si>
    <t>张劲松</t>
  </si>
  <si>
    <t>宗召利</t>
  </si>
  <si>
    <t>张凤英</t>
  </si>
  <si>
    <t>李振江</t>
  </si>
  <si>
    <t>赵卫东</t>
  </si>
  <si>
    <t>汪小敏</t>
  </si>
  <si>
    <t>张银龙</t>
  </si>
  <si>
    <t>丁凤</t>
  </si>
  <si>
    <t>李维</t>
  </si>
  <si>
    <t>陈长文</t>
  </si>
  <si>
    <t>李培培</t>
  </si>
  <si>
    <t>赵静</t>
  </si>
  <si>
    <t>张亭</t>
  </si>
  <si>
    <t>吴存款</t>
  </si>
  <si>
    <t>赵震露</t>
  </si>
  <si>
    <t>张洋洋</t>
  </si>
  <si>
    <t>陈晓曼</t>
  </si>
  <si>
    <t>刘国栋</t>
  </si>
  <si>
    <t>储文杰</t>
  </si>
  <si>
    <t>况春兰</t>
  </si>
  <si>
    <t>雷珊珊</t>
  </si>
  <si>
    <t>郭秀梅</t>
  </si>
  <si>
    <t>何良秀</t>
  </si>
  <si>
    <t>秦圣斌</t>
  </si>
  <si>
    <t>代鹏飞</t>
  </si>
  <si>
    <t>马小龙</t>
  </si>
  <si>
    <t>杨海明</t>
  </si>
  <si>
    <t>刘旺</t>
  </si>
  <si>
    <t>赵南南</t>
  </si>
  <si>
    <t>赵婉</t>
  </si>
  <si>
    <t>陈明远</t>
  </si>
  <si>
    <t>易严</t>
  </si>
  <si>
    <t>朱瑞</t>
  </si>
  <si>
    <t>张利</t>
  </si>
  <si>
    <t>孙青松</t>
  </si>
  <si>
    <t>邵飞</t>
  </si>
  <si>
    <t>李明英</t>
  </si>
  <si>
    <t>苏文英</t>
  </si>
  <si>
    <t>木计凤</t>
  </si>
  <si>
    <t>杜永瑞</t>
  </si>
  <si>
    <t>李广福</t>
  </si>
  <si>
    <t>孙桂英</t>
  </si>
  <si>
    <t>刘燕</t>
  </si>
  <si>
    <t>侯梦嫣</t>
  </si>
  <si>
    <t>杨雷</t>
  </si>
  <si>
    <t>郭学兰</t>
  </si>
  <si>
    <t>赵大伍</t>
  </si>
  <si>
    <t>张翠芳</t>
  </si>
  <si>
    <t>陈钦联</t>
  </si>
  <si>
    <t>朱志明</t>
  </si>
  <si>
    <t>曹明东</t>
  </si>
  <si>
    <t>赵太见</t>
  </si>
  <si>
    <t>曹民国</t>
  </si>
  <si>
    <t>赵干</t>
  </si>
  <si>
    <t>张前进</t>
  </si>
  <si>
    <t>陈志强</t>
  </si>
  <si>
    <t>方志芹</t>
  </si>
  <si>
    <t>赵后传</t>
  </si>
  <si>
    <t>何有兴</t>
  </si>
  <si>
    <t>赵宇</t>
  </si>
  <si>
    <t>邹乾志</t>
  </si>
  <si>
    <t>张雷电</t>
  </si>
  <si>
    <t>赵忠义</t>
  </si>
  <si>
    <t>孙大英</t>
  </si>
  <si>
    <t>陈钦运</t>
  </si>
  <si>
    <t>陈若英</t>
  </si>
  <si>
    <t>吴广华</t>
  </si>
  <si>
    <t>赵献中</t>
  </si>
  <si>
    <t>白成军</t>
  </si>
  <si>
    <t>秦望乾</t>
  </si>
  <si>
    <t>常秀兰</t>
  </si>
  <si>
    <t>张秀丽</t>
  </si>
  <si>
    <t>侯辉团</t>
  </si>
  <si>
    <t>陈昌锋</t>
  </si>
  <si>
    <t>刘幸飞</t>
  </si>
  <si>
    <t>胡贵荣</t>
  </si>
  <si>
    <t>王传英</t>
  </si>
  <si>
    <t>李过</t>
  </si>
  <si>
    <t>刘凤英</t>
  </si>
  <si>
    <t>何手信</t>
  </si>
  <si>
    <t>王光亮</t>
  </si>
  <si>
    <t>侯秀环</t>
  </si>
  <si>
    <t>陈家兴</t>
  </si>
  <si>
    <t>魏淑云</t>
  </si>
  <si>
    <t>赵先中</t>
  </si>
  <si>
    <t>郑俭生</t>
  </si>
  <si>
    <t>李维红</t>
  </si>
  <si>
    <t>赵雪华</t>
  </si>
  <si>
    <t>蔡宗礼</t>
  </si>
  <si>
    <t>杜伟</t>
  </si>
  <si>
    <t>况彬</t>
  </si>
  <si>
    <t>郝先云</t>
  </si>
  <si>
    <t>赵梦莉</t>
  </si>
  <si>
    <t>赵先富</t>
  </si>
  <si>
    <t>徐成英</t>
  </si>
  <si>
    <t>化章荣</t>
  </si>
  <si>
    <t>花计理</t>
  </si>
  <si>
    <t>高杰</t>
  </si>
  <si>
    <t>周宗峰</t>
  </si>
  <si>
    <t>赵文亮</t>
  </si>
  <si>
    <t>张顺</t>
  </si>
  <si>
    <t>魏晶晶</t>
  </si>
  <si>
    <t>李玉梅</t>
  </si>
  <si>
    <t>谢敬军</t>
  </si>
  <si>
    <t>陈令强</t>
  </si>
  <si>
    <t>张玉刚</t>
  </si>
  <si>
    <t>李红英</t>
  </si>
  <si>
    <t>史敬云</t>
  </si>
  <si>
    <t>李新建</t>
  </si>
  <si>
    <t>储昆</t>
  </si>
  <si>
    <t>周方伟</t>
  </si>
  <si>
    <t>何建军</t>
  </si>
  <si>
    <t>张景晨</t>
  </si>
  <si>
    <t>杨子续</t>
  </si>
  <si>
    <t>赵四季</t>
  </si>
  <si>
    <t>郑中全</t>
  </si>
  <si>
    <t>王瑞生</t>
  </si>
  <si>
    <t>王芝玲</t>
  </si>
  <si>
    <t>宋秀兰</t>
  </si>
  <si>
    <t>董运文</t>
  </si>
  <si>
    <t>王春兰</t>
  </si>
  <si>
    <t>孙艳芝</t>
  </si>
  <si>
    <t>万景芳</t>
  </si>
  <si>
    <t>邵守文</t>
  </si>
  <si>
    <t>周茂凯</t>
  </si>
  <si>
    <t>赵明侠</t>
  </si>
  <si>
    <t>李月侠</t>
  </si>
  <si>
    <t>陈天香</t>
  </si>
  <si>
    <t>赵德抓</t>
  </si>
  <si>
    <t>周军令</t>
  </si>
  <si>
    <t>赵文娟</t>
  </si>
  <si>
    <t>晁计超</t>
  </si>
  <si>
    <t>周士面</t>
  </si>
  <si>
    <t>赵大卫</t>
  </si>
  <si>
    <t>黄小丽</t>
  </si>
  <si>
    <t>倪腾飞</t>
  </si>
  <si>
    <t>候凤英</t>
  </si>
  <si>
    <t>高向晖</t>
  </si>
  <si>
    <t>陈浩宇</t>
  </si>
  <si>
    <t>周莉</t>
  </si>
  <si>
    <t>赵国栋</t>
  </si>
  <si>
    <t>陈战</t>
  </si>
  <si>
    <t>周士福</t>
  </si>
  <si>
    <t>贾星光</t>
  </si>
  <si>
    <t>张浩</t>
  </si>
  <si>
    <t>代艳玲</t>
  </si>
  <si>
    <t>陈大锁</t>
  </si>
  <si>
    <t>刘大兰</t>
  </si>
  <si>
    <t>孙桂芝</t>
  </si>
  <si>
    <t>刘士红</t>
  </si>
  <si>
    <t>李素英</t>
  </si>
  <si>
    <t>郝汝红</t>
  </si>
  <si>
    <t>刘志强</t>
  </si>
  <si>
    <t>吴学春</t>
  </si>
  <si>
    <t>吴晓东</t>
  </si>
  <si>
    <t>赵秀严</t>
  </si>
  <si>
    <t>赵中义</t>
  </si>
  <si>
    <t>秦毛旦</t>
  </si>
  <si>
    <t>李同付</t>
  </si>
  <si>
    <t>代青林</t>
  </si>
  <si>
    <t>常士华</t>
  </si>
  <si>
    <t>王素芬</t>
  </si>
  <si>
    <t>李翔</t>
  </si>
  <si>
    <t>王磊</t>
  </si>
  <si>
    <t>荣海龙</t>
  </si>
  <si>
    <t>刘华桥</t>
  </si>
  <si>
    <t>赵玉凤</t>
  </si>
  <si>
    <t>魏彬</t>
  </si>
  <si>
    <t>周乐</t>
  </si>
  <si>
    <t>吕桂英</t>
  </si>
  <si>
    <t>赵永光</t>
  </si>
  <si>
    <t>胡明志</t>
  </si>
  <si>
    <t>张玲兰</t>
  </si>
  <si>
    <t>赵德功</t>
  </si>
  <si>
    <t>高彩云</t>
  </si>
  <si>
    <t>赵先章</t>
  </si>
  <si>
    <t>赵永和</t>
  </si>
  <si>
    <t>赵德勇</t>
  </si>
  <si>
    <t>薛玲</t>
  </si>
  <si>
    <t>王桂芳</t>
  </si>
  <si>
    <t>郑会芳</t>
  </si>
  <si>
    <t>武秀玲</t>
  </si>
  <si>
    <t>谢爱芹</t>
  </si>
  <si>
    <t>邵义士</t>
  </si>
  <si>
    <t>易姣姣</t>
  </si>
  <si>
    <t>徐保男</t>
  </si>
  <si>
    <t>董宏辉</t>
  </si>
  <si>
    <t>王焱</t>
  </si>
  <si>
    <t>代飞龙</t>
  </si>
  <si>
    <t>陈小龙</t>
  </si>
  <si>
    <t>彭羿菡</t>
  </si>
  <si>
    <t>刘晴晴</t>
  </si>
  <si>
    <t>代双龙</t>
  </si>
  <si>
    <t>李萍</t>
  </si>
  <si>
    <t>邵士英</t>
  </si>
  <si>
    <t>赵书勤</t>
  </si>
  <si>
    <t>徐孝平</t>
  </si>
  <si>
    <t>宗永结</t>
  </si>
  <si>
    <t>代礼民</t>
  </si>
  <si>
    <t>周得水</t>
  </si>
  <si>
    <t>代长荣</t>
  </si>
  <si>
    <t>张斌</t>
  </si>
  <si>
    <t>张恒春</t>
  </si>
  <si>
    <t>魏端席</t>
  </si>
  <si>
    <t>郝玉娟</t>
  </si>
  <si>
    <t>邵士伟</t>
  </si>
  <si>
    <t>孟伟</t>
  </si>
  <si>
    <t>赵甜甜</t>
  </si>
  <si>
    <t>杨想开</t>
  </si>
  <si>
    <t>侯克环</t>
  </si>
  <si>
    <t>杭艳</t>
  </si>
  <si>
    <t>赵淑元</t>
  </si>
  <si>
    <t>苗建华</t>
  </si>
  <si>
    <t>桂宏新</t>
  </si>
  <si>
    <t>李明</t>
  </si>
  <si>
    <t>马红梅</t>
  </si>
  <si>
    <t>马三反</t>
  </si>
  <si>
    <t>张骄</t>
  </si>
  <si>
    <t>张紫研</t>
  </si>
  <si>
    <t>代长洁</t>
  </si>
  <si>
    <t>沈露</t>
  </si>
  <si>
    <t>李居营</t>
  </si>
  <si>
    <t>徐永博</t>
  </si>
  <si>
    <t>朱继英</t>
  </si>
  <si>
    <t>张小龙</t>
  </si>
  <si>
    <t>张艳</t>
  </si>
  <si>
    <t>杜天乐</t>
  </si>
  <si>
    <t>李端印</t>
  </si>
  <si>
    <t>李艳侠</t>
  </si>
  <si>
    <t>李婧</t>
  </si>
  <si>
    <t>马汝兵</t>
  </si>
  <si>
    <t>郝天生</t>
  </si>
  <si>
    <t>周善于</t>
  </si>
  <si>
    <t>雷秀华</t>
  </si>
  <si>
    <t>秦海波</t>
  </si>
  <si>
    <t>周娇娇</t>
  </si>
  <si>
    <t>秦品峰</t>
  </si>
  <si>
    <t>木兰英</t>
  </si>
  <si>
    <t>杨克华</t>
  </si>
  <si>
    <t>李维珠</t>
  </si>
  <si>
    <t>刘凤芹</t>
  </si>
  <si>
    <t>赵光彩</t>
  </si>
  <si>
    <t>张建</t>
  </si>
  <si>
    <t>孔现会</t>
  </si>
  <si>
    <t>蔡永内</t>
  </si>
  <si>
    <t>李雪芹</t>
  </si>
  <si>
    <t>高敬</t>
  </si>
  <si>
    <t>魏海彬</t>
  </si>
  <si>
    <t>魏毛孩</t>
  </si>
  <si>
    <t>赵笑</t>
  </si>
  <si>
    <t>赵银龙</t>
  </si>
  <si>
    <t>徐闪</t>
  </si>
  <si>
    <t>吴宇宙</t>
  </si>
  <si>
    <t>赵可佳</t>
  </si>
  <si>
    <t>张兰荣</t>
  </si>
  <si>
    <t>吕桂芹</t>
  </si>
  <si>
    <t>王侠</t>
  </si>
  <si>
    <t>陈若连</t>
  </si>
  <si>
    <t>黄佳佳</t>
  </si>
  <si>
    <t>李祥春</t>
  </si>
  <si>
    <t>周茂民</t>
  </si>
  <si>
    <t>李杰</t>
  </si>
  <si>
    <t>代博闻</t>
  </si>
  <si>
    <t>徐梓睿</t>
  </si>
  <si>
    <t>李书梅</t>
  </si>
  <si>
    <t>谢书玲</t>
  </si>
  <si>
    <t>刘强</t>
  </si>
  <si>
    <t>李子豪</t>
  </si>
  <si>
    <t>刘俊杰</t>
  </si>
  <si>
    <t>孟艺阳</t>
  </si>
  <si>
    <t>张天赐</t>
  </si>
  <si>
    <t>张腾戈</t>
  </si>
  <si>
    <t>李明政</t>
  </si>
  <si>
    <t>王邦兰</t>
  </si>
  <si>
    <t>蔡芳</t>
  </si>
  <si>
    <t>杜文生</t>
  </si>
  <si>
    <t>宋兴喜</t>
  </si>
  <si>
    <t>胡云朋</t>
  </si>
  <si>
    <t>禹统顺</t>
  </si>
  <si>
    <t>高飞</t>
  </si>
  <si>
    <t>张凯</t>
  </si>
  <si>
    <t>朱文凤</t>
  </si>
  <si>
    <t>李浩</t>
  </si>
  <si>
    <t>李羿</t>
  </si>
  <si>
    <t>丁静修</t>
  </si>
  <si>
    <t>代秀兰</t>
  </si>
  <si>
    <t>丁子扬</t>
  </si>
  <si>
    <t>杜加文</t>
  </si>
  <si>
    <t>蔡皓轩</t>
  </si>
  <si>
    <t>曹玉珍</t>
  </si>
  <si>
    <t>张淑英</t>
  </si>
  <si>
    <t>赵大化</t>
  </si>
  <si>
    <t>宗召杰</t>
  </si>
  <si>
    <t>谢敬芬</t>
  </si>
  <si>
    <t>宗丰义</t>
  </si>
  <si>
    <t>周怀新</t>
  </si>
  <si>
    <t>王言真</t>
  </si>
  <si>
    <t>吕本夫</t>
  </si>
  <si>
    <t>王家平</t>
  </si>
  <si>
    <t>周进步</t>
  </si>
  <si>
    <t>魏全喜</t>
  </si>
  <si>
    <t>郑成龙</t>
  </si>
  <si>
    <t>晁泰舫</t>
  </si>
  <si>
    <t>黄青松</t>
  </si>
  <si>
    <t>李运</t>
  </si>
  <si>
    <t>代青岭</t>
  </si>
  <si>
    <t>陈号奇</t>
  </si>
  <si>
    <t>代长生</t>
  </si>
  <si>
    <t>孙玉侠</t>
  </si>
  <si>
    <t>侯生明</t>
  </si>
  <si>
    <t>孔祥侠</t>
  </si>
  <si>
    <t>泗红</t>
  </si>
  <si>
    <t>陈秀春</t>
  </si>
  <si>
    <t>徐光富</t>
  </si>
  <si>
    <t>高倩倩</t>
  </si>
  <si>
    <t>代爱萍</t>
  </si>
  <si>
    <t>张斐</t>
  </si>
  <si>
    <t>段士佳</t>
  </si>
  <si>
    <t>曾玉芳</t>
  </si>
  <si>
    <t>魏书芳</t>
  </si>
  <si>
    <t>吴彬</t>
  </si>
  <si>
    <t>路曼</t>
  </si>
  <si>
    <t>赵嘉赫</t>
  </si>
  <si>
    <t>赵雨婷</t>
  </si>
  <si>
    <t>秦大号</t>
  </si>
  <si>
    <t>陈品伙</t>
  </si>
  <si>
    <t>木汤言</t>
  </si>
  <si>
    <t>张民</t>
  </si>
  <si>
    <t>吴敏</t>
  </si>
  <si>
    <t>陈允怀</t>
  </si>
  <si>
    <t>马廷辉</t>
  </si>
  <si>
    <t>李存杰</t>
  </si>
  <si>
    <t>赵忠好</t>
  </si>
  <si>
    <t>李维维</t>
  </si>
  <si>
    <t>秦玉辉</t>
  </si>
  <si>
    <t>陈畅畅</t>
  </si>
  <si>
    <t>唐昶</t>
  </si>
  <si>
    <t>王民乐</t>
  </si>
  <si>
    <t>李艳平</t>
  </si>
  <si>
    <t>石启英</t>
  </si>
  <si>
    <t>李同宇</t>
  </si>
  <si>
    <t>陈望民</t>
  </si>
  <si>
    <t>苏维华</t>
  </si>
  <si>
    <t>徐永华</t>
  </si>
  <si>
    <t>李本元</t>
  </si>
  <si>
    <t>张帝</t>
  </si>
  <si>
    <t>李良</t>
  </si>
  <si>
    <t>李珍</t>
  </si>
  <si>
    <t>董安晴</t>
  </si>
  <si>
    <t>赵培启</t>
  </si>
  <si>
    <t>李方友</t>
  </si>
  <si>
    <t>陈军</t>
  </si>
  <si>
    <t>董宏章</t>
  </si>
  <si>
    <t>赵先红</t>
  </si>
  <si>
    <t>王桂平</t>
  </si>
  <si>
    <t>丁芹</t>
  </si>
  <si>
    <t>王玉英</t>
  </si>
  <si>
    <t>李权</t>
  </si>
  <si>
    <t>王大寨</t>
  </si>
  <si>
    <t>周方荣</t>
  </si>
  <si>
    <t>李万锋</t>
  </si>
  <si>
    <t>孟国美</t>
  </si>
  <si>
    <t>孟振</t>
  </si>
  <si>
    <t>郝紫祥</t>
  </si>
  <si>
    <t>蔡保顺</t>
  </si>
  <si>
    <t>李本东</t>
  </si>
  <si>
    <t>余明光</t>
  </si>
  <si>
    <t>赵好学</t>
  </si>
  <si>
    <t>薛斌</t>
  </si>
  <si>
    <t>周等道</t>
  </si>
  <si>
    <t>魏雷</t>
  </si>
  <si>
    <t>邱攀</t>
  </si>
  <si>
    <t>李亚飞</t>
  </si>
  <si>
    <t>孟士</t>
  </si>
  <si>
    <t>刘远洋</t>
  </si>
  <si>
    <t>张子忆</t>
  </si>
  <si>
    <t>宋佳</t>
  </si>
  <si>
    <t>何子琦</t>
  </si>
  <si>
    <t>周方伍</t>
  </si>
  <si>
    <t>赵德启</t>
  </si>
  <si>
    <t>林长永</t>
  </si>
  <si>
    <t>黄凤玲</t>
  </si>
  <si>
    <t>陈永玲</t>
  </si>
  <si>
    <t>杨玉萍</t>
  </si>
  <si>
    <t>秦香莲</t>
  </si>
  <si>
    <t>董端学</t>
  </si>
  <si>
    <t>赵路生</t>
  </si>
  <si>
    <t>董馨怡</t>
  </si>
  <si>
    <t>马维贵</t>
  </si>
  <si>
    <t>陈士凯</t>
  </si>
  <si>
    <t>李万良</t>
  </si>
  <si>
    <t>孔庆军</t>
  </si>
  <si>
    <t>张心军</t>
  </si>
  <si>
    <t>王光备</t>
  </si>
  <si>
    <t>魏倩雨</t>
  </si>
  <si>
    <t>丁飞</t>
  </si>
  <si>
    <t>代雨婷</t>
  </si>
  <si>
    <t>杜元仨</t>
  </si>
  <si>
    <t>宋浩文</t>
  </si>
  <si>
    <t>周思涵</t>
  </si>
  <si>
    <t>牛淑英</t>
  </si>
  <si>
    <t>蔺伟建</t>
  </si>
  <si>
    <t>赵德和</t>
  </si>
  <si>
    <t>张加营</t>
  </si>
  <si>
    <t>王亚平</t>
  </si>
  <si>
    <t>代长青</t>
  </si>
  <si>
    <t>李书香</t>
  </si>
  <si>
    <t>李安云</t>
  </si>
  <si>
    <t>杨春侠</t>
  </si>
  <si>
    <t>王麒麟</t>
  </si>
  <si>
    <t>赵号书</t>
  </si>
  <si>
    <t>陈怡</t>
  </si>
  <si>
    <t>代志会</t>
  </si>
  <si>
    <t>张立中</t>
  </si>
  <si>
    <t>赵自杰</t>
  </si>
  <si>
    <t>李时杰</t>
  </si>
  <si>
    <t>陈望高</t>
  </si>
  <si>
    <t>任士虎</t>
  </si>
  <si>
    <t>蔡兰香</t>
  </si>
  <si>
    <t>蔡永胜</t>
  </si>
  <si>
    <t>王金凤</t>
  </si>
  <si>
    <t>赵秀君</t>
  </si>
  <si>
    <t>周雪平</t>
  </si>
  <si>
    <t>陈品良</t>
  </si>
  <si>
    <t>施维荣</t>
  </si>
  <si>
    <t>孟雪</t>
  </si>
  <si>
    <t>黄雪</t>
  </si>
  <si>
    <t>秦品连</t>
  </si>
  <si>
    <t>宋计展</t>
  </si>
  <si>
    <t>陈洪海</t>
  </si>
  <si>
    <t>何朝中</t>
  </si>
  <si>
    <t>梁云</t>
  </si>
  <si>
    <t>郝艳华</t>
  </si>
  <si>
    <t>吴晓红</t>
  </si>
  <si>
    <t>徐秀侠</t>
  </si>
  <si>
    <t>周文锋</t>
  </si>
  <si>
    <t>沈文飞</t>
  </si>
  <si>
    <t>雷珂雨</t>
  </si>
  <si>
    <t>宋亚彬</t>
  </si>
  <si>
    <t>倪雄伟</t>
  </si>
  <si>
    <t>陈梦珍</t>
  </si>
  <si>
    <t>刘标</t>
  </si>
  <si>
    <t>朱向明</t>
  </si>
  <si>
    <t>李祥田</t>
  </si>
  <si>
    <t>李艳</t>
  </si>
  <si>
    <t>魏恩惠</t>
  </si>
  <si>
    <t>周玉凤</t>
  </si>
  <si>
    <t>张子春</t>
  </si>
  <si>
    <t>李天宝</t>
  </si>
  <si>
    <t>周欣叶</t>
  </si>
  <si>
    <t>周龙响</t>
  </si>
  <si>
    <t>杭继荣</t>
  </si>
  <si>
    <t>李素云</t>
  </si>
  <si>
    <t>王家宽</t>
  </si>
  <si>
    <t>况成见</t>
  </si>
  <si>
    <t>储方银</t>
  </si>
  <si>
    <t>李贺廷</t>
  </si>
  <si>
    <t>陈克功</t>
  </si>
  <si>
    <t>黄书侠</t>
  </si>
  <si>
    <t>邵存新</t>
  </si>
  <si>
    <t>李万兵</t>
  </si>
  <si>
    <t>徐光成</t>
  </si>
  <si>
    <t>杨艳侠</t>
  </si>
  <si>
    <t>郑万柱</t>
  </si>
  <si>
    <t>李登</t>
  </si>
  <si>
    <t>高勇</t>
  </si>
  <si>
    <t>刘士华</t>
  </si>
  <si>
    <t>秦争光</t>
  </si>
  <si>
    <t>李文龙</t>
  </si>
  <si>
    <t>费玉侠</t>
  </si>
  <si>
    <t>陈明义</t>
  </si>
  <si>
    <t>郭秀英</t>
  </si>
  <si>
    <t>卓秀英</t>
  </si>
  <si>
    <t>李克强</t>
  </si>
  <si>
    <t>刘超</t>
  </si>
  <si>
    <t>刘化金</t>
  </si>
  <si>
    <t>任秀华</t>
  </si>
  <si>
    <t>李正武</t>
  </si>
  <si>
    <t>朱小文</t>
  </si>
  <si>
    <t>秦开花</t>
  </si>
  <si>
    <t>郑小东</t>
  </si>
  <si>
    <t>董宝全</t>
  </si>
  <si>
    <t>代改改</t>
  </si>
  <si>
    <t>夏欣然</t>
  </si>
  <si>
    <t>朱小羔</t>
  </si>
  <si>
    <t>李紫涵</t>
  </si>
  <si>
    <t>胡语诺</t>
  </si>
  <si>
    <t>宋兴华</t>
  </si>
  <si>
    <t>董宏府</t>
  </si>
  <si>
    <t>张广民</t>
  </si>
  <si>
    <t>张振</t>
  </si>
  <si>
    <t>黄井义</t>
  </si>
  <si>
    <t>刘鑫安</t>
  </si>
  <si>
    <t>刘翠萍</t>
  </si>
  <si>
    <t>赵士勤</t>
  </si>
  <si>
    <t>陈博文</t>
  </si>
  <si>
    <t>赵大帅</t>
  </si>
  <si>
    <t>赵桂侠</t>
  </si>
  <si>
    <t>陈翠英</t>
  </si>
  <si>
    <t>郑显亮</t>
  </si>
  <si>
    <t>赵新事</t>
  </si>
  <si>
    <t>常慧</t>
  </si>
  <si>
    <t>杨梅</t>
  </si>
  <si>
    <t>董理平</t>
  </si>
  <si>
    <t>赵侠</t>
  </si>
  <si>
    <t>陈笑梅</t>
  </si>
  <si>
    <t>许理想</t>
  </si>
  <si>
    <t>宗召建</t>
  </si>
  <si>
    <t>代梦</t>
  </si>
  <si>
    <t>杨蕊</t>
  </si>
  <si>
    <t>张晏琳</t>
  </si>
  <si>
    <t>况炎旭</t>
  </si>
  <si>
    <t>周得敏</t>
  </si>
  <si>
    <t>薛桂云</t>
  </si>
  <si>
    <t>李端文</t>
  </si>
  <si>
    <t>杨克亮</t>
  </si>
  <si>
    <t>赵士学</t>
  </si>
  <si>
    <t>魏计亮</t>
  </si>
  <si>
    <t>周汝岳</t>
  </si>
  <si>
    <t>李素华</t>
  </si>
  <si>
    <t>赵德侠</t>
  </si>
  <si>
    <t>朱德玉</t>
  </si>
  <si>
    <t>雷明兰</t>
  </si>
  <si>
    <t>杜桂荣</t>
  </si>
  <si>
    <t>张加宣</t>
  </si>
  <si>
    <t>王光奎</t>
  </si>
  <si>
    <t>魏雪云</t>
  </si>
  <si>
    <t>武彦灵</t>
  </si>
  <si>
    <t>李敏</t>
  </si>
  <si>
    <t>藩德化</t>
  </si>
  <si>
    <t>郝传光</t>
  </si>
  <si>
    <t>王四</t>
  </si>
  <si>
    <t>李大芬</t>
  </si>
  <si>
    <t>孙永军</t>
  </si>
  <si>
    <t>马玉柱</t>
  </si>
  <si>
    <t>黄三梅</t>
  </si>
  <si>
    <t>曹艳林</t>
  </si>
  <si>
    <t>张彬</t>
  </si>
  <si>
    <t>况海红</t>
  </si>
  <si>
    <t>花海龙</t>
  </si>
  <si>
    <t>张贤远</t>
  </si>
  <si>
    <t>赵邵奇</t>
  </si>
  <si>
    <t>张会珍</t>
  </si>
  <si>
    <t>赵小玲</t>
  </si>
  <si>
    <t>朱传久</t>
  </si>
  <si>
    <t>朱六汗</t>
  </si>
  <si>
    <t>李百忍</t>
  </si>
  <si>
    <t>李凤云</t>
  </si>
  <si>
    <t>许小辉</t>
  </si>
  <si>
    <t>魏昌明</t>
  </si>
  <si>
    <t>刘德义</t>
  </si>
  <si>
    <t>董宏芳</t>
  </si>
  <si>
    <t>赵永贵</t>
  </si>
  <si>
    <t>何正强</t>
  </si>
  <si>
    <t>文长平</t>
  </si>
  <si>
    <t>邵见君</t>
  </si>
  <si>
    <t>周士芬</t>
  </si>
  <si>
    <t>李团结</t>
  </si>
  <si>
    <t>陈龙美</t>
  </si>
  <si>
    <t>朱宗贵</t>
  </si>
  <si>
    <t>刘义顺</t>
  </si>
  <si>
    <t>欧阳</t>
  </si>
  <si>
    <t>魏恒学</t>
  </si>
  <si>
    <t>周中计</t>
  </si>
  <si>
    <t>王春明</t>
  </si>
  <si>
    <t>吴亮亮</t>
  </si>
  <si>
    <t>朱书侠</t>
  </si>
  <si>
    <t>李兰芳</t>
  </si>
  <si>
    <t>张建峰</t>
  </si>
  <si>
    <t>赵功文</t>
  </si>
  <si>
    <t>王新停</t>
  </si>
  <si>
    <t>费李氏</t>
  </si>
  <si>
    <t>梁青英</t>
  </si>
  <si>
    <t>曾运侠</t>
  </si>
  <si>
    <t>张生产</t>
  </si>
  <si>
    <t>田兴民</t>
  </si>
  <si>
    <t>赵濉溪</t>
  </si>
  <si>
    <t>陈梦龙</t>
  </si>
  <si>
    <t>李亚南</t>
  </si>
  <si>
    <t>杨艳</t>
  </si>
  <si>
    <t>王翠侠</t>
  </si>
  <si>
    <t>张淑芳</t>
  </si>
  <si>
    <t>杜永芬</t>
  </si>
  <si>
    <t>朱淑云</t>
  </si>
  <si>
    <t>马杰</t>
  </si>
  <si>
    <t>赵吉红</t>
  </si>
  <si>
    <t>邵秀梅</t>
  </si>
  <si>
    <t>杜强</t>
  </si>
  <si>
    <t>王之祥</t>
  </si>
  <si>
    <t>周华</t>
  </si>
  <si>
    <t>曹娟</t>
  </si>
  <si>
    <t>赵红艳</t>
  </si>
  <si>
    <t>张后玉</t>
  </si>
  <si>
    <t>丁如夫</t>
  </si>
  <si>
    <t>曹光存</t>
  </si>
  <si>
    <t>赵振</t>
  </si>
  <si>
    <t>赵光荣</t>
  </si>
  <si>
    <t>赵永学</t>
  </si>
  <si>
    <t>吴贞东</t>
  </si>
  <si>
    <t>赵玉珍</t>
  </si>
  <si>
    <t>侯晓芹</t>
  </si>
  <si>
    <t>杜贵侠</t>
  </si>
  <si>
    <t>宗大干</t>
  </si>
  <si>
    <t>代清海</t>
  </si>
  <si>
    <t>梁永梅</t>
  </si>
  <si>
    <t>赵文凤</t>
  </si>
  <si>
    <t>李丽</t>
  </si>
  <si>
    <t>王芝华</t>
  </si>
  <si>
    <t>王素玲</t>
  </si>
  <si>
    <t>陈礼全</t>
  </si>
  <si>
    <t>何彩云</t>
  </si>
  <si>
    <t>李玲</t>
  </si>
  <si>
    <t>王四海</t>
  </si>
  <si>
    <t>苏振收</t>
  </si>
  <si>
    <t>赵宗贤</t>
  </si>
  <si>
    <t>代宇航</t>
  </si>
  <si>
    <t>郑克欧</t>
  </si>
  <si>
    <t>王玉侠</t>
  </si>
  <si>
    <t>董宏宇</t>
  </si>
  <si>
    <t>林含钰</t>
  </si>
  <si>
    <t>赵嘉丽</t>
  </si>
  <si>
    <t>蔡佳蕙</t>
  </si>
  <si>
    <t>徐云熙</t>
  </si>
  <si>
    <t>赵秀英</t>
  </si>
  <si>
    <t>陈家卜</t>
  </si>
  <si>
    <t>杨成军</t>
  </si>
  <si>
    <t>梁清明</t>
  </si>
  <si>
    <t>赵永启</t>
  </si>
  <si>
    <t>段秀敏</t>
  </si>
  <si>
    <t>况开电</t>
  </si>
  <si>
    <t>况夫乐</t>
  </si>
  <si>
    <t>宋桂英</t>
  </si>
  <si>
    <t>穆龙飞</t>
  </si>
  <si>
    <t>李军</t>
  </si>
  <si>
    <t>裘亚东</t>
  </si>
  <si>
    <t>赵欢迎</t>
  </si>
  <si>
    <t>赵士乾</t>
  </si>
  <si>
    <t>魏继红</t>
  </si>
  <si>
    <t>张雪芹</t>
  </si>
  <si>
    <t>周大华</t>
  </si>
  <si>
    <t>李梦雪</t>
  </si>
  <si>
    <t>王亚南</t>
  </si>
  <si>
    <t>赵长坤</t>
  </si>
  <si>
    <t>陈洪刚</t>
  </si>
  <si>
    <t>刘桂兰</t>
  </si>
  <si>
    <t>李红</t>
  </si>
  <si>
    <t>陈彬</t>
  </si>
  <si>
    <t>赵德方</t>
  </si>
  <si>
    <t>陈爱荣</t>
  </si>
  <si>
    <t>李华</t>
  </si>
  <si>
    <t>朱子午</t>
  </si>
  <si>
    <t>赵舒越</t>
  </si>
  <si>
    <t>李方胜</t>
  </si>
  <si>
    <t>赵书兰</t>
  </si>
  <si>
    <t>费家华</t>
  </si>
  <si>
    <t>王平英</t>
  </si>
  <si>
    <t>曹国强</t>
  </si>
  <si>
    <t>王广英</t>
  </si>
  <si>
    <t>朱晟汗</t>
  </si>
  <si>
    <t>张文举</t>
  </si>
  <si>
    <t>高雪英</t>
  </si>
  <si>
    <t>张长红</t>
  </si>
  <si>
    <t>赵先款</t>
  </si>
  <si>
    <t>杨忠军</t>
  </si>
  <si>
    <t>王天佑</t>
  </si>
  <si>
    <t>李化奎</t>
  </si>
  <si>
    <t>刘正海</t>
  </si>
  <si>
    <t>常井云</t>
  </si>
  <si>
    <t>朱伟</t>
  </si>
  <si>
    <t>王春燕</t>
  </si>
  <si>
    <t>储文虎</t>
  </si>
  <si>
    <t>赵后仁</t>
  </si>
  <si>
    <t>薛峰</t>
  </si>
  <si>
    <t>杜氏</t>
  </si>
  <si>
    <t>王兆志</t>
  </si>
  <si>
    <t>费传亮</t>
  </si>
  <si>
    <t>赵德乐</t>
  </si>
  <si>
    <t>周玉英</t>
  </si>
  <si>
    <t>张海军</t>
  </si>
  <si>
    <t>王玉芬</t>
  </si>
  <si>
    <t>赵华</t>
  </si>
  <si>
    <t>张思银</t>
  </si>
  <si>
    <t>刘英</t>
  </si>
  <si>
    <t>李维忠</t>
  </si>
  <si>
    <t>李祥运</t>
  </si>
  <si>
    <t>董昌忍</t>
  </si>
  <si>
    <t>宋淑敏</t>
  </si>
  <si>
    <t>宗莹莹</t>
  </si>
  <si>
    <t>陈仓</t>
  </si>
  <si>
    <t>赵黎明</t>
  </si>
  <si>
    <t>陈宏井</t>
  </si>
  <si>
    <t>赵磊</t>
  </si>
  <si>
    <t>赵维维</t>
  </si>
  <si>
    <t>韩丽平</t>
  </si>
  <si>
    <t>储方军</t>
  </si>
  <si>
    <t>张楚楚</t>
  </si>
  <si>
    <t>夏泽宇轩</t>
  </si>
  <si>
    <t>唐嘉昊</t>
  </si>
  <si>
    <t>孟凡礼</t>
  </si>
  <si>
    <t>赵德哲</t>
  </si>
  <si>
    <t>秦品玲</t>
  </si>
  <si>
    <t>吴成亮</t>
  </si>
  <si>
    <t>秦德利</t>
  </si>
  <si>
    <t>张建立</t>
  </si>
  <si>
    <t>赵德峰</t>
  </si>
  <si>
    <t>李端峰</t>
  </si>
  <si>
    <t>赵大满</t>
  </si>
  <si>
    <t>沈朵朵</t>
  </si>
  <si>
    <t>蔡坤</t>
  </si>
  <si>
    <t>单孝鹏</t>
  </si>
  <si>
    <t>周方</t>
  </si>
  <si>
    <t>周春艳</t>
  </si>
  <si>
    <t>雷敬海</t>
  </si>
  <si>
    <t>周冬冬</t>
  </si>
  <si>
    <t>张欣怡</t>
  </si>
  <si>
    <t>胡敬英</t>
  </si>
  <si>
    <t>张丽</t>
  </si>
  <si>
    <t>赵文玲</t>
  </si>
  <si>
    <t>周刚强</t>
  </si>
  <si>
    <t>林允玲</t>
  </si>
  <si>
    <t>刘仁增</t>
  </si>
  <si>
    <t>吴默</t>
  </si>
  <si>
    <t>高沐宸</t>
  </si>
  <si>
    <t>赵成群</t>
  </si>
  <si>
    <t>张为敏</t>
  </si>
  <si>
    <t>费青好</t>
  </si>
  <si>
    <t>谢玲玲</t>
  </si>
  <si>
    <t>赵宗奎</t>
  </si>
  <si>
    <t>朱孝凤</t>
  </si>
  <si>
    <t>徐杰</t>
  </si>
  <si>
    <t>孙怡</t>
  </si>
  <si>
    <t>吕高山</t>
  </si>
  <si>
    <t>周硕杰</t>
  </si>
  <si>
    <t>代长军</t>
  </si>
  <si>
    <t>赵丽娜</t>
  </si>
  <si>
    <t>李家豪</t>
  </si>
  <si>
    <t>杜红灯</t>
  </si>
  <si>
    <t>刘朵朵</t>
  </si>
  <si>
    <t>孙存豹</t>
  </si>
  <si>
    <t>田俊逸</t>
  </si>
  <si>
    <t>张双安</t>
  </si>
  <si>
    <t>李普</t>
  </si>
  <si>
    <t>苏振芬</t>
  </si>
  <si>
    <t>王建文</t>
  </si>
  <si>
    <t>张学林</t>
  </si>
  <si>
    <t>陈科</t>
  </si>
  <si>
    <t>周四清</t>
  </si>
  <si>
    <t>况夫军</t>
  </si>
  <si>
    <t>李淑兰</t>
  </si>
  <si>
    <t>谢秀英</t>
  </si>
  <si>
    <t>刘先举</t>
  </si>
  <si>
    <t>周胜田</t>
  </si>
  <si>
    <t>何有启</t>
  </si>
  <si>
    <t>郑元</t>
  </si>
  <si>
    <t>刘梅</t>
  </si>
  <si>
    <t>赵杰</t>
  </si>
  <si>
    <t>王丹</t>
  </si>
  <si>
    <t>王振</t>
  </si>
  <si>
    <t>代楠楠</t>
  </si>
  <si>
    <t>杜芹</t>
  </si>
  <si>
    <t>赵宗昊</t>
  </si>
  <si>
    <t>宋争光</t>
  </si>
  <si>
    <t>王宇涵</t>
  </si>
  <si>
    <t>杨旭</t>
  </si>
  <si>
    <t>祁晨光</t>
  </si>
  <si>
    <t>孔召兰</t>
  </si>
  <si>
    <t>王德华</t>
  </si>
  <si>
    <t>何有民</t>
  </si>
  <si>
    <t>穆秀芳</t>
  </si>
  <si>
    <t>苏维斌</t>
  </si>
  <si>
    <t>马婉芹</t>
  </si>
  <si>
    <t>赵忠臣</t>
  </si>
  <si>
    <t>马明远</t>
  </si>
  <si>
    <t>李龙云</t>
  </si>
  <si>
    <t>张清红</t>
  </si>
  <si>
    <t>桂长征</t>
  </si>
  <si>
    <t>赵彩云</t>
  </si>
  <si>
    <t>郭玉杰</t>
  </si>
  <si>
    <t>王超</t>
  </si>
  <si>
    <t>王敬松</t>
  </si>
  <si>
    <t>赵月亮</t>
  </si>
  <si>
    <t>赵娟娟</t>
  </si>
  <si>
    <t>陈夏夏</t>
  </si>
  <si>
    <t>赵永胜</t>
  </si>
  <si>
    <t>代群芳</t>
  </si>
  <si>
    <t>王书军</t>
  </si>
  <si>
    <t>杜甜甜</t>
  </si>
  <si>
    <t>魏雅安</t>
  </si>
  <si>
    <t>高晓华</t>
  </si>
  <si>
    <t>何皓轩</t>
  </si>
  <si>
    <t>邵兰芹</t>
  </si>
  <si>
    <t>代志峰</t>
  </si>
  <si>
    <t>张守德</t>
  </si>
  <si>
    <t>许和平</t>
  </si>
  <si>
    <t>赵永新</t>
  </si>
  <si>
    <t>董景华</t>
  </si>
  <si>
    <t>林允均</t>
  </si>
  <si>
    <t>沈健新</t>
  </si>
  <si>
    <t>夏中芳</t>
  </si>
  <si>
    <t>赵宇领</t>
  </si>
  <si>
    <t>吕芳</t>
  </si>
  <si>
    <t>赵猛猛</t>
  </si>
  <si>
    <t>张广金</t>
  </si>
  <si>
    <t>张良</t>
  </si>
  <si>
    <t>周元元</t>
  </si>
  <si>
    <t>李天赐</t>
  </si>
  <si>
    <t>刘文英</t>
  </si>
  <si>
    <t>赵德印</t>
  </si>
  <si>
    <t>张志园</t>
  </si>
  <si>
    <t>牛翠侠</t>
  </si>
  <si>
    <t>徐敏</t>
  </si>
  <si>
    <t>邵守记</t>
  </si>
  <si>
    <t>周方健</t>
  </si>
  <si>
    <t>李彬</t>
  </si>
  <si>
    <t>李栓</t>
  </si>
  <si>
    <t>丁虎子</t>
  </si>
  <si>
    <t>许晨旭</t>
  </si>
  <si>
    <t>李珊珊</t>
  </si>
  <si>
    <t>朱秀兰</t>
  </si>
  <si>
    <t>李端壮</t>
  </si>
  <si>
    <t>孙兰芳</t>
  </si>
  <si>
    <t>梁得为</t>
  </si>
  <si>
    <t>李超华</t>
  </si>
  <si>
    <t>陈洪才</t>
  </si>
  <si>
    <t>赵玉得</t>
  </si>
  <si>
    <t>王梅</t>
  </si>
  <si>
    <t>李毛妮</t>
  </si>
  <si>
    <t>吴双德</t>
  </si>
  <si>
    <t>张潮</t>
  </si>
  <si>
    <t>李兵兵</t>
  </si>
  <si>
    <t>赵然</t>
  </si>
  <si>
    <t>宋巍巍</t>
  </si>
  <si>
    <t>赵四</t>
  </si>
  <si>
    <t>李祥红</t>
  </si>
  <si>
    <t>张诗琪</t>
  </si>
  <si>
    <t>董萍萍</t>
  </si>
  <si>
    <t>雷敬勇</t>
  </si>
  <si>
    <t>陈嘉娣</t>
  </si>
  <si>
    <t>禹建军</t>
  </si>
  <si>
    <t>孟现红</t>
  </si>
  <si>
    <t>王飞</t>
  </si>
  <si>
    <t>王家鑫</t>
  </si>
  <si>
    <t>丁灿灿</t>
  </si>
  <si>
    <t>郝名扬</t>
  </si>
  <si>
    <t>林子晴</t>
  </si>
  <si>
    <t>张美龙</t>
  </si>
  <si>
    <t>王亚昌</t>
  </si>
  <si>
    <t>单淮北</t>
  </si>
  <si>
    <t>彭梦丽</t>
  </si>
  <si>
    <t>张氏</t>
  </si>
  <si>
    <t>陈士平</t>
  </si>
  <si>
    <t>徐凤玲</t>
  </si>
  <si>
    <t>代王氏</t>
  </si>
  <si>
    <t>胡百才</t>
  </si>
  <si>
    <t>周文英</t>
  </si>
  <si>
    <t>陈钦华</t>
  </si>
  <si>
    <t>李端芹</t>
  </si>
  <si>
    <t>闫秀英</t>
  </si>
  <si>
    <t>朱永胜</t>
  </si>
  <si>
    <t>杨文英</t>
  </si>
  <si>
    <t>王光平</t>
  </si>
  <si>
    <t>胡玉先</t>
  </si>
  <si>
    <t>徐良民</t>
  </si>
  <si>
    <t>郑克中</t>
  </si>
  <si>
    <t>王玲侠</t>
  </si>
  <si>
    <t>木凤兰</t>
  </si>
  <si>
    <t>李化先</t>
  </si>
  <si>
    <t>刘乾亮</t>
  </si>
  <si>
    <t>黄秀芝</t>
  </si>
  <si>
    <t>杨正林</t>
  </si>
  <si>
    <t>吴学芬</t>
  </si>
  <si>
    <t>张思停</t>
  </si>
  <si>
    <t>储方功</t>
  </si>
  <si>
    <t>曹光荣</t>
  </si>
  <si>
    <t>王佩夫</t>
  </si>
  <si>
    <t>费怀英</t>
  </si>
  <si>
    <t>张祖英</t>
  </si>
  <si>
    <t>李贺元</t>
  </si>
  <si>
    <t>赵先国</t>
  </si>
  <si>
    <t>张心田</t>
  </si>
  <si>
    <t>雷敬安</t>
  </si>
  <si>
    <t>李安全</t>
  </si>
  <si>
    <t>周德华</t>
  </si>
  <si>
    <t>孙文侠</t>
  </si>
  <si>
    <t>张清松</t>
  </si>
  <si>
    <t>尤玉梅</t>
  </si>
  <si>
    <t>刘文民</t>
  </si>
  <si>
    <t>邵义德</t>
  </si>
  <si>
    <t>赵太影</t>
  </si>
  <si>
    <t>黄德敏</t>
  </si>
  <si>
    <t>代志义</t>
  </si>
  <si>
    <t>刘士民</t>
  </si>
  <si>
    <t>周茂严</t>
  </si>
  <si>
    <t>周方进</t>
  </si>
  <si>
    <t>胡秀侠</t>
  </si>
  <si>
    <t>林允仁</t>
  </si>
  <si>
    <t>郑玉侠</t>
  </si>
  <si>
    <t>赵丽芳</t>
  </si>
  <si>
    <t>赵德发</t>
  </si>
  <si>
    <t>周胜前</t>
  </si>
  <si>
    <t>赵玉萍</t>
  </si>
  <si>
    <t>李文华</t>
  </si>
  <si>
    <t>钱明芝</t>
  </si>
  <si>
    <t>秦德建</t>
  </si>
  <si>
    <t>宋贤文</t>
  </si>
  <si>
    <t>孙存英</t>
  </si>
  <si>
    <t>宋淑云</t>
  </si>
  <si>
    <t>沈班班</t>
  </si>
  <si>
    <t>况开体</t>
  </si>
  <si>
    <t>刘华军</t>
  </si>
  <si>
    <t>马镇英</t>
  </si>
  <si>
    <t>赵建</t>
  </si>
  <si>
    <t>费传社</t>
  </si>
  <si>
    <t>周方结</t>
  </si>
  <si>
    <t>郝秀英</t>
  </si>
  <si>
    <t>牛艳</t>
  </si>
  <si>
    <t>陈汝梅</t>
  </si>
  <si>
    <t>李安芬</t>
  </si>
  <si>
    <t>吕健</t>
  </si>
  <si>
    <t>张思良</t>
  </si>
  <si>
    <t>何德伟</t>
  </si>
  <si>
    <t>周宁</t>
  </si>
  <si>
    <t>宗瑞财</t>
  </si>
  <si>
    <t>张永</t>
  </si>
  <si>
    <t>张芹</t>
  </si>
  <si>
    <t>徐凤兰</t>
  </si>
  <si>
    <t>郑雷</t>
  </si>
  <si>
    <t>张书云</t>
  </si>
  <si>
    <t>贾敬红</t>
  </si>
  <si>
    <t>柴瑞林</t>
  </si>
  <si>
    <t>刘德刚</t>
  </si>
  <si>
    <t>陈宏广</t>
  </si>
  <si>
    <t>张红军</t>
  </si>
  <si>
    <t>赵超群</t>
  </si>
  <si>
    <t>董昌宣</t>
  </si>
  <si>
    <t>董昌文</t>
  </si>
  <si>
    <t>何杰</t>
  </si>
  <si>
    <t>吴银宝</t>
  </si>
  <si>
    <t>林火车</t>
  </si>
  <si>
    <t>赵素芹</t>
  </si>
  <si>
    <t>张强</t>
  </si>
  <si>
    <t>朱玉召</t>
  </si>
  <si>
    <t>陈士宏</t>
  </si>
  <si>
    <t>陈宜军</t>
  </si>
  <si>
    <t>秦双军</t>
  </si>
  <si>
    <t>武良彬</t>
  </si>
  <si>
    <t>任苹</t>
  </si>
  <si>
    <t>禹莉</t>
  </si>
  <si>
    <t>李认</t>
  </si>
  <si>
    <t>赵光碗</t>
  </si>
  <si>
    <t>宗议</t>
  </si>
  <si>
    <t>桂飞</t>
  </si>
  <si>
    <t>赵纯登</t>
  </si>
  <si>
    <t>丁昭峰</t>
  </si>
  <si>
    <t>陈苗苗</t>
  </si>
  <si>
    <t>赵玄</t>
  </si>
  <si>
    <t>周红财</t>
  </si>
  <si>
    <t>李广</t>
  </si>
  <si>
    <t>魏平义</t>
  </si>
  <si>
    <t>徐光银</t>
  </si>
  <si>
    <t>周建</t>
  </si>
  <si>
    <t>郁为民</t>
  </si>
  <si>
    <t>朱翠荣</t>
  </si>
  <si>
    <t>李玉</t>
  </si>
  <si>
    <t>程思琪</t>
  </si>
  <si>
    <t>赵一帆</t>
  </si>
  <si>
    <t>代礼强</t>
  </si>
  <si>
    <t>马维峰</t>
  </si>
  <si>
    <t>赵正峰</t>
  </si>
  <si>
    <t>董宏义</t>
  </si>
  <si>
    <t>周贤志</t>
  </si>
  <si>
    <t>赵德强</t>
  </si>
  <si>
    <t>陈伟</t>
  </si>
  <si>
    <t>陈梅</t>
  </si>
  <si>
    <t>费永民</t>
  </si>
  <si>
    <t>张思广</t>
  </si>
  <si>
    <t>倪燕</t>
  </si>
  <si>
    <t>宗雅婷</t>
  </si>
  <si>
    <t>李祥军</t>
  </si>
  <si>
    <t>杜士风</t>
  </si>
  <si>
    <t>杨志强</t>
  </si>
  <si>
    <t>杨晓宣</t>
  </si>
  <si>
    <t>赵亚运</t>
  </si>
  <si>
    <t>赵孝文</t>
  </si>
  <si>
    <t>郑秀云</t>
  </si>
  <si>
    <t>赵贤儒</t>
  </si>
  <si>
    <t>张允英</t>
  </si>
  <si>
    <t>姚成英</t>
  </si>
  <si>
    <t>陈钦芝</t>
  </si>
  <si>
    <t>支兴华</t>
  </si>
  <si>
    <t>代志金</t>
  </si>
  <si>
    <t>杨侠</t>
  </si>
  <si>
    <t>赵成心</t>
  </si>
  <si>
    <t>何建</t>
  </si>
  <si>
    <t>武保见</t>
  </si>
  <si>
    <t>代志秀</t>
  </si>
  <si>
    <t>代志才</t>
  </si>
  <si>
    <t>赵春艳</t>
  </si>
  <si>
    <t>王建玲</t>
  </si>
  <si>
    <t>尹书敏</t>
  </si>
  <si>
    <t>吴凤青</t>
  </si>
  <si>
    <t>雷修山</t>
  </si>
  <si>
    <t>张慧茹</t>
  </si>
  <si>
    <t>赵士军</t>
  </si>
  <si>
    <t>周紫怡</t>
  </si>
  <si>
    <t>张梦娇</t>
  </si>
  <si>
    <t>高子慧</t>
  </si>
  <si>
    <t>薛加林</t>
  </si>
  <si>
    <t>宗邦春</t>
  </si>
  <si>
    <t>魏学习</t>
  </si>
  <si>
    <t>李斌</t>
  </si>
  <si>
    <t>荣俊一</t>
  </si>
  <si>
    <t>朱皓轩</t>
  </si>
  <si>
    <t>刘玉梅</t>
  </si>
  <si>
    <t>谢良云</t>
  </si>
  <si>
    <t>朱如侠</t>
  </si>
  <si>
    <t>赵先和</t>
  </si>
  <si>
    <t>梁素华</t>
  </si>
  <si>
    <t>郭美兰</t>
  </si>
  <si>
    <t>雷良喜</t>
  </si>
  <si>
    <t>汪香田</t>
  </si>
  <si>
    <t>施为学</t>
  </si>
  <si>
    <t>曹云侠</t>
  </si>
  <si>
    <t>蔡士平</t>
  </si>
  <si>
    <t>朱海梅</t>
  </si>
  <si>
    <t>杨士友</t>
  </si>
  <si>
    <t>陈松</t>
  </si>
  <si>
    <t>周武强</t>
  </si>
  <si>
    <t>李三龙</t>
  </si>
  <si>
    <t>文德宝</t>
  </si>
  <si>
    <t>冯毛玲</t>
  </si>
  <si>
    <t>李秀兰</t>
  </si>
  <si>
    <t>马淑英</t>
  </si>
  <si>
    <t>荣诚诚</t>
  </si>
  <si>
    <t>杜春艳</t>
  </si>
  <si>
    <t>林宝山</t>
  </si>
  <si>
    <t>蔡涵睿</t>
  </si>
  <si>
    <t>赵柠一</t>
  </si>
  <si>
    <t>李祥英</t>
  </si>
  <si>
    <t>杨秀英</t>
  </si>
  <si>
    <t>宋兴和</t>
  </si>
  <si>
    <t>马爱侠</t>
  </si>
  <si>
    <t>王巧云</t>
  </si>
  <si>
    <t>戚怀勤</t>
  </si>
  <si>
    <t>陈月娥</t>
  </si>
  <si>
    <t>赵盼盼</t>
  </si>
  <si>
    <t>刘泽稷</t>
  </si>
  <si>
    <t>宋贤忠</t>
  </si>
  <si>
    <t>侯雨蒙</t>
  </si>
  <si>
    <t>李龙龙</t>
  </si>
  <si>
    <t>房桂云</t>
  </si>
  <si>
    <t>马金英</t>
  </si>
  <si>
    <t>王永兰</t>
  </si>
  <si>
    <t>李士华</t>
  </si>
  <si>
    <t>陈计超</t>
  </si>
  <si>
    <t>刘书芳</t>
  </si>
  <si>
    <t>张思超</t>
  </si>
  <si>
    <t>张虎子</t>
  </si>
  <si>
    <t>赵晓艳</t>
  </si>
  <si>
    <t>皇甫英杰</t>
  </si>
  <si>
    <t>李祥祥</t>
  </si>
  <si>
    <t>赵剑</t>
  </si>
  <si>
    <t>赵雪英</t>
  </si>
  <si>
    <t>刘胜英</t>
  </si>
  <si>
    <t>刘维英</t>
  </si>
  <si>
    <t>代礼春</t>
  </si>
  <si>
    <t>陈文学</t>
  </si>
  <si>
    <t>王停同</t>
  </si>
  <si>
    <t>易秀华</t>
  </si>
  <si>
    <t>李运荣</t>
  </si>
  <si>
    <t>朱玉红</t>
  </si>
  <si>
    <t>代志零</t>
  </si>
  <si>
    <t>朱治红</t>
  </si>
  <si>
    <t>李自飞</t>
  </si>
  <si>
    <t>赵军队</t>
  </si>
  <si>
    <t>周翠梅</t>
  </si>
  <si>
    <t>李梦浩</t>
  </si>
  <si>
    <t>蔡婉婉</t>
  </si>
  <si>
    <t>李方洲</t>
  </si>
  <si>
    <t>何守元</t>
  </si>
  <si>
    <t>倪先海</t>
  </si>
  <si>
    <t>王欣怡</t>
  </si>
  <si>
    <t>赵先峰</t>
  </si>
  <si>
    <t>李方生</t>
  </si>
  <si>
    <t>赵磨</t>
  </si>
  <si>
    <t>宋书英</t>
  </si>
  <si>
    <t>代长宏</t>
  </si>
  <si>
    <t>赵恒新</t>
  </si>
  <si>
    <t>蔡玉侠</t>
  </si>
  <si>
    <t>徐小萍</t>
  </si>
  <si>
    <t>徐婷</t>
  </si>
  <si>
    <t>王建成</t>
  </si>
  <si>
    <t>李淑英</t>
  </si>
  <si>
    <t>张秀云</t>
  </si>
  <si>
    <t>李青阳</t>
  </si>
  <si>
    <t>张元方</t>
  </si>
  <si>
    <t>王佩琴</t>
  </si>
  <si>
    <t>李端学</t>
  </si>
  <si>
    <t>杜秀平</t>
  </si>
  <si>
    <t>苏维建</t>
  </si>
  <si>
    <t>张彩霞</t>
  </si>
  <si>
    <t>陈礼书</t>
  </si>
  <si>
    <t>林联合</t>
  </si>
  <si>
    <t>吕运军</t>
  </si>
  <si>
    <t>宋德利</t>
  </si>
  <si>
    <t>任淑美</t>
  </si>
  <si>
    <t>赵永连</t>
  </si>
  <si>
    <t>徐超文</t>
  </si>
  <si>
    <t>王德峰</t>
  </si>
  <si>
    <t>张慧敏</t>
  </si>
  <si>
    <t>陈姣</t>
  </si>
  <si>
    <t>刘阿毛</t>
  </si>
  <si>
    <t>何喜妹</t>
  </si>
  <si>
    <t>纵雅平</t>
  </si>
  <si>
    <t>郝茹晨</t>
  </si>
  <si>
    <t>朱运兴</t>
  </si>
  <si>
    <t>赵秀兰</t>
  </si>
  <si>
    <t>王德侠</t>
  </si>
  <si>
    <t>宗召友</t>
  </si>
  <si>
    <t>郝传义</t>
  </si>
  <si>
    <t>蔡云</t>
  </si>
  <si>
    <t>张大玲</t>
  </si>
  <si>
    <t>孙培培</t>
  </si>
  <si>
    <t>李青松</t>
  </si>
  <si>
    <t>储伟</t>
  </si>
  <si>
    <t>李文媛</t>
  </si>
  <si>
    <t>杜卓恒</t>
  </si>
  <si>
    <t>陈瑄</t>
  </si>
  <si>
    <t>薛云</t>
  </si>
  <si>
    <t>储文华</t>
  </si>
  <si>
    <t>丁敏</t>
  </si>
  <si>
    <t>赵恒</t>
  </si>
  <si>
    <t>梁长廷</t>
  </si>
  <si>
    <t>肖翠平</t>
  </si>
  <si>
    <t>农保E类</t>
  </si>
  <si>
    <t>徐召福</t>
  </si>
  <si>
    <t>侯秀侠</t>
  </si>
  <si>
    <t>武凤兰</t>
  </si>
  <si>
    <t>秦品军</t>
  </si>
  <si>
    <t>白中秀</t>
  </si>
  <si>
    <t>谢宝平</t>
  </si>
  <si>
    <t>吕宝</t>
  </si>
  <si>
    <t>张扁扁</t>
  </si>
  <si>
    <t>赵丽安</t>
  </si>
  <si>
    <t>穆孝芳</t>
  </si>
  <si>
    <t>张思雨</t>
  </si>
  <si>
    <t>丁磨圆</t>
  </si>
  <si>
    <t>徐良太</t>
  </si>
  <si>
    <t>代志强</t>
  </si>
  <si>
    <t>郝翠侠</t>
  </si>
  <si>
    <t>百先侠</t>
  </si>
  <si>
    <t>赵小娟</t>
  </si>
  <si>
    <t>高成敏</t>
  </si>
  <si>
    <t>黄艳玲</t>
  </si>
  <si>
    <t>陈红</t>
  </si>
  <si>
    <t>王洋洋</t>
  </si>
  <si>
    <t>王青晨</t>
  </si>
  <si>
    <t>魏金争</t>
  </si>
  <si>
    <t>何超</t>
  </si>
  <si>
    <t>徐建龙</t>
  </si>
  <si>
    <t>赵德明</t>
  </si>
  <si>
    <t>花成成</t>
  </si>
  <si>
    <t>周玉</t>
  </si>
  <si>
    <t>魏林林</t>
  </si>
  <si>
    <t>代青阳</t>
  </si>
  <si>
    <t>张金平</t>
  </si>
  <si>
    <t>朱佳慧</t>
  </si>
  <si>
    <t>赵雅析</t>
  </si>
  <si>
    <t>吕薜东</t>
  </si>
  <si>
    <t>周侠</t>
  </si>
  <si>
    <t>杜成兰</t>
  </si>
  <si>
    <t>何茂武</t>
  </si>
  <si>
    <t>苏维全</t>
  </si>
  <si>
    <t>余翠侠</t>
  </si>
  <si>
    <t>陈勇</t>
  </si>
  <si>
    <t>杭群</t>
  </si>
  <si>
    <t>秦品涛</t>
  </si>
  <si>
    <t>王彬山</t>
  </si>
  <si>
    <t>张文才</t>
  </si>
  <si>
    <t>黄祖海</t>
  </si>
  <si>
    <t>贺小东</t>
  </si>
  <si>
    <t>许素颜</t>
  </si>
  <si>
    <t>赵荣</t>
  </si>
  <si>
    <t>王影</t>
  </si>
  <si>
    <t>李艳荣</t>
  </si>
  <si>
    <t>卜现云</t>
  </si>
  <si>
    <t>韩学勤</t>
  </si>
  <si>
    <t>费传良</t>
  </si>
  <si>
    <t>张兰侠</t>
  </si>
  <si>
    <t>木廷安</t>
  </si>
  <si>
    <t>韩老虎</t>
  </si>
  <si>
    <t>赵玲</t>
  </si>
  <si>
    <t>代秀玲</t>
  </si>
  <si>
    <t>雷敬新</t>
  </si>
  <si>
    <t>李国伟</t>
  </si>
  <si>
    <t>任启伟</t>
  </si>
  <si>
    <t>孟胖胖</t>
  </si>
  <si>
    <t>马金凤</t>
  </si>
  <si>
    <t>李丹萍</t>
  </si>
  <si>
    <t>吴美娜</t>
  </si>
  <si>
    <t>王华侨</t>
  </si>
  <si>
    <t>况芳</t>
  </si>
  <si>
    <t>魏润</t>
  </si>
  <si>
    <t>吕天宇</t>
  </si>
  <si>
    <t>寇容</t>
  </si>
  <si>
    <t>赵立广</t>
  </si>
  <si>
    <t>况成勤</t>
  </si>
  <si>
    <t>曹光于</t>
  </si>
  <si>
    <t>蔡宗奎</t>
  </si>
  <si>
    <t>何茂华</t>
  </si>
  <si>
    <t>王举香</t>
  </si>
  <si>
    <t>赵先阳</t>
  </si>
  <si>
    <t>代陈陈</t>
  </si>
  <si>
    <t>赵祥武</t>
  </si>
  <si>
    <t>邵万里</t>
  </si>
  <si>
    <t>王玉柱</t>
  </si>
  <si>
    <t>赵俊尚</t>
  </si>
  <si>
    <t>张小娣</t>
  </si>
  <si>
    <t>彭先举</t>
  </si>
  <si>
    <t>赵德贺</t>
  </si>
  <si>
    <t>常士荣</t>
  </si>
  <si>
    <t>李圣法</t>
  </si>
  <si>
    <t>刘志华</t>
  </si>
  <si>
    <t>周慧敏</t>
  </si>
  <si>
    <t>牛赛赛</t>
  </si>
  <si>
    <t>李小玲</t>
  </si>
  <si>
    <t>刘长浩</t>
  </si>
  <si>
    <t>杨翠平</t>
  </si>
  <si>
    <t>陈昌文</t>
  </si>
  <si>
    <t>李端好</t>
  </si>
  <si>
    <t>陈阵</t>
  </si>
  <si>
    <t>秦品岺</t>
  </si>
  <si>
    <t>徐国春</t>
  </si>
  <si>
    <t>赵立夏</t>
  </si>
  <si>
    <t>张良昭</t>
  </si>
  <si>
    <t>董宏兰</t>
  </si>
  <si>
    <t>刘长中</t>
  </si>
  <si>
    <t>周润宇</t>
  </si>
  <si>
    <t>李祥宇</t>
  </si>
  <si>
    <t>陈天佑</t>
  </si>
  <si>
    <t>赵祖海</t>
  </si>
  <si>
    <t>宋贤山</t>
  </si>
  <si>
    <t>陈士文</t>
  </si>
  <si>
    <t>徐跃田</t>
  </si>
  <si>
    <t>周胜伦</t>
  </si>
  <si>
    <t>雷修文</t>
  </si>
  <si>
    <t>高树中</t>
  </si>
  <si>
    <t>李秀华</t>
  </si>
  <si>
    <t>李淑玲</t>
  </si>
  <si>
    <t>曹从礼</t>
  </si>
  <si>
    <t>赵德新</t>
  </si>
  <si>
    <t>冯燕</t>
  </si>
  <si>
    <t>沈苹</t>
  </si>
  <si>
    <t>况夫贵</t>
  </si>
  <si>
    <t>桑秀梅</t>
  </si>
  <si>
    <t>吕萍</t>
  </si>
  <si>
    <t>周云</t>
  </si>
  <si>
    <t>赵大刚</t>
  </si>
  <si>
    <t>魏小龙</t>
  </si>
  <si>
    <t>赵士委</t>
  </si>
  <si>
    <t>杨书勤</t>
  </si>
  <si>
    <t>吴连华</t>
  </si>
  <si>
    <t>周方宝</t>
  </si>
  <si>
    <t>李俊延</t>
  </si>
  <si>
    <t>赵开彬</t>
  </si>
  <si>
    <t>杜振奎</t>
  </si>
  <si>
    <t>苏维义</t>
  </si>
  <si>
    <t>周淑华</t>
  </si>
  <si>
    <t>刘宾</t>
  </si>
  <si>
    <t>马秀华</t>
  </si>
  <si>
    <t>高艳</t>
  </si>
  <si>
    <t>孙小平</t>
  </si>
  <si>
    <t>赵道龙</t>
  </si>
  <si>
    <t>陈玉侠</t>
  </si>
  <si>
    <t>李云</t>
  </si>
  <si>
    <t>储丽芳</t>
  </si>
  <si>
    <t>徐克</t>
  </si>
  <si>
    <t>王礼侠</t>
  </si>
  <si>
    <t>马益翔</t>
  </si>
  <si>
    <t>赵先才</t>
  </si>
  <si>
    <t>代礼动</t>
  </si>
  <si>
    <t>赵中庆</t>
  </si>
  <si>
    <t>陈霞云</t>
  </si>
  <si>
    <t>井茂圣</t>
  </si>
  <si>
    <t>马玉芳</t>
  </si>
  <si>
    <t>刘怀东</t>
  </si>
  <si>
    <t>黄玲</t>
  </si>
  <si>
    <t>沈宗毅</t>
  </si>
  <si>
    <t>张传利</t>
  </si>
  <si>
    <t>代书娟</t>
  </si>
  <si>
    <t>伯小艳</t>
  </si>
  <si>
    <t>李文倩</t>
  </si>
  <si>
    <t>杨备华</t>
  </si>
  <si>
    <t>李居章</t>
  </si>
  <si>
    <t>刘俊阳</t>
  </si>
  <si>
    <t>李武氏</t>
  </si>
  <si>
    <t>邵士盘</t>
  </si>
  <si>
    <t>陈旺兴</t>
  </si>
  <si>
    <t>董昌卜</t>
  </si>
  <si>
    <t>董运贤</t>
  </si>
  <si>
    <t>张厚才</t>
  </si>
  <si>
    <t>董宏奎</t>
  </si>
  <si>
    <t>胡云华</t>
  </si>
  <si>
    <t>李加志</t>
  </si>
  <si>
    <t>董运祥</t>
  </si>
  <si>
    <t>孙经济</t>
  </si>
  <si>
    <t>晁阵阵</t>
  </si>
  <si>
    <t>李晴娣</t>
  </si>
  <si>
    <t>曾浩然</t>
  </si>
  <si>
    <t>王秀梅</t>
  </si>
  <si>
    <t>李梅英</t>
  </si>
  <si>
    <t>储文艳</t>
  </si>
  <si>
    <t>宋良瑞</t>
  </si>
  <si>
    <t>郑瑜晨</t>
  </si>
  <si>
    <t>周立新</t>
  </si>
  <si>
    <t>王梓奥</t>
  </si>
  <si>
    <t>赵宇冬</t>
  </si>
  <si>
    <t>王俊飞</t>
  </si>
  <si>
    <t>孟志刚</t>
  </si>
  <si>
    <t>张娟</t>
  </si>
  <si>
    <t>李丹洋</t>
  </si>
  <si>
    <t>朱柏帆</t>
  </si>
  <si>
    <t>朱传辉</t>
  </si>
  <si>
    <t>张万利</t>
  </si>
  <si>
    <t>张加平</t>
  </si>
  <si>
    <t>张守贞</t>
  </si>
  <si>
    <t>倪光英</t>
  </si>
  <si>
    <t>王彦荣</t>
  </si>
  <si>
    <t>赵先运</t>
  </si>
  <si>
    <t>魏萍英</t>
  </si>
  <si>
    <t>陈钦学</t>
  </si>
  <si>
    <t>京志英</t>
  </si>
  <si>
    <t>秦德华</t>
  </si>
  <si>
    <t>李端平</t>
  </si>
  <si>
    <t>丁淑梅</t>
  </si>
  <si>
    <t>薛棠芬</t>
  </si>
  <si>
    <t>余孝英</t>
  </si>
  <si>
    <t>余秀玲</t>
  </si>
  <si>
    <t>徐秀梅</t>
  </si>
  <si>
    <t>陈永新</t>
  </si>
  <si>
    <t>吴成金</t>
  </si>
  <si>
    <t>吴苹</t>
  </si>
  <si>
    <t>徐召鹏</t>
  </si>
  <si>
    <t>倪化平</t>
  </si>
  <si>
    <t>刘云英</t>
  </si>
  <si>
    <t>曹宏林</t>
  </si>
  <si>
    <t>杨大学</t>
  </si>
  <si>
    <t>何来金</t>
  </si>
  <si>
    <t>吴思愣</t>
  </si>
  <si>
    <t>张德芹</t>
  </si>
  <si>
    <t>李贺明</t>
  </si>
  <si>
    <t>高建</t>
  </si>
  <si>
    <t>王铁山</t>
  </si>
  <si>
    <t>蔡士明</t>
  </si>
  <si>
    <t>武桂玲</t>
  </si>
  <si>
    <t>贯守萍</t>
  </si>
  <si>
    <t>陈红侠</t>
  </si>
  <si>
    <t>赵隐</t>
  </si>
  <si>
    <t>曹建龙</t>
  </si>
  <si>
    <t>郝志坚</t>
  </si>
  <si>
    <t>张冬</t>
  </si>
  <si>
    <t>陈钦伟</t>
  </si>
  <si>
    <t>杨学兵</t>
  </si>
  <si>
    <t>赵开放</t>
  </si>
  <si>
    <t>张明珠</t>
  </si>
  <si>
    <t>乔倩</t>
  </si>
  <si>
    <t>代玉娇</t>
  </si>
  <si>
    <t>况立新</t>
  </si>
  <si>
    <t>徐营</t>
  </si>
  <si>
    <t>张安华</t>
  </si>
  <si>
    <t>朱爱芹</t>
  </si>
  <si>
    <t>张雪理</t>
  </si>
  <si>
    <t>况天赐</t>
  </si>
  <si>
    <t>郝增兰</t>
  </si>
  <si>
    <t>孙芳</t>
  </si>
  <si>
    <t>赵士阳</t>
  </si>
  <si>
    <t>张喜</t>
  </si>
  <si>
    <t>蔺小红</t>
  </si>
  <si>
    <t>赵书文</t>
  </si>
  <si>
    <t>徐玉侠</t>
  </si>
  <si>
    <t>侯中良</t>
  </si>
  <si>
    <t>殷旗生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</si>
</sst>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5" fillId="0" borderId="0" applyFont="false" applyFill="false" applyBorder="false" applyAlignment="false" applyProtection="false"/>
    <xf numFmtId="44" fontId="15" fillId="0" borderId="0" applyFont="false" applyFill="false" applyBorder="false" applyAlignment="false" applyProtection="false"/>
    <xf numFmtId="9" fontId="15" fillId="0" borderId="0" applyFont="false" applyFill="false" applyBorder="false" applyAlignment="false" applyProtection="false"/>
    <xf numFmtId="0" fontId="0" fillId="0" borderId="0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3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28" borderId="10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10" borderId="11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7" applyNumberFormat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0" fillId="23" borderId="9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4" fillId="0" borderId="4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14"/>
  <sheetViews>
    <sheetView showGridLines="0" tabSelected="1" topLeftCell="A2789" workbookViewId="0">
      <selection activeCell="G2789" sqref="A$1:G$1048576"/>
    </sheetView>
  </sheetViews>
  <sheetFormatPr defaultColWidth="9" defaultRowHeight="13.5" outlineLevelCol="6"/>
  <cols>
    <col min="1" max="1" width="5.375" customWidth="true"/>
    <col min="2" max="2" width="8.125" customWidth="true"/>
    <col min="3" max="3" width="4.375" customWidth="true"/>
    <col min="4" max="4" width="21.25" customWidth="true"/>
    <col min="5" max="6" width="8.125" customWidth="true"/>
    <col min="7" max="7" width="11.875" customWidth="true"/>
  </cols>
  <sheetData>
    <row r="1" s="1" customFormat="true" ht="37.5" customHeight="true" spans="1:7">
      <c r="A1" s="3" t="s">
        <v>0</v>
      </c>
      <c r="B1" s="4"/>
      <c r="C1" s="4"/>
      <c r="D1" s="4"/>
      <c r="E1" s="4"/>
      <c r="F1" s="4"/>
      <c r="G1" s="4"/>
    </row>
    <row r="2" s="2" customFormat="true" ht="22.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true" ht="22.5" customHeight="true" spans="1:7">
      <c r="A3" s="6">
        <f>1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614</v>
      </c>
    </row>
    <row r="4" s="2" customFormat="true" ht="22.5" customHeight="true" spans="1:7">
      <c r="A4" s="6">
        <f>2</f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1</v>
      </c>
      <c r="G4" s="6">
        <v>596</v>
      </c>
    </row>
    <row r="5" s="2" customFormat="true" ht="22.5" customHeight="true" spans="1:7">
      <c r="A5" s="6">
        <f>3</f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594</v>
      </c>
    </row>
    <row r="6" s="2" customFormat="true" ht="22.5" customHeight="true" spans="1:7">
      <c r="A6" s="6">
        <f>4</f>
        <v>4</v>
      </c>
      <c r="B6" s="6" t="s">
        <v>18</v>
      </c>
      <c r="C6" s="6" t="s">
        <v>15</v>
      </c>
      <c r="D6" s="6" t="s">
        <v>19</v>
      </c>
      <c r="E6" s="6" t="s">
        <v>11</v>
      </c>
      <c r="F6" s="6">
        <v>1</v>
      </c>
      <c r="G6" s="6">
        <v>619</v>
      </c>
    </row>
    <row r="7" s="2" customFormat="true" ht="22.5" customHeight="true" spans="1:7">
      <c r="A7" s="6">
        <f>5</f>
        <v>5</v>
      </c>
      <c r="B7" s="6" t="s">
        <v>20</v>
      </c>
      <c r="C7" s="6" t="s">
        <v>9</v>
      </c>
      <c r="D7" s="6" t="s">
        <v>21</v>
      </c>
      <c r="E7" s="6" t="s">
        <v>11</v>
      </c>
      <c r="F7" s="6">
        <v>1</v>
      </c>
      <c r="G7" s="6">
        <v>594</v>
      </c>
    </row>
    <row r="8" s="2" customFormat="true" ht="22.5" customHeight="true" spans="1:7">
      <c r="A8" s="6">
        <f>6</f>
        <v>6</v>
      </c>
      <c r="B8" s="6" t="s">
        <v>22</v>
      </c>
      <c r="C8" s="6" t="s">
        <v>15</v>
      </c>
      <c r="D8" s="6" t="s">
        <v>19</v>
      </c>
      <c r="E8" s="6" t="s">
        <v>11</v>
      </c>
      <c r="F8" s="6">
        <v>1</v>
      </c>
      <c r="G8" s="6">
        <v>597</v>
      </c>
    </row>
    <row r="9" s="2" customFormat="true" ht="22.5" customHeight="true" spans="1:7">
      <c r="A9" s="6">
        <f>7</f>
        <v>7</v>
      </c>
      <c r="B9" s="6" t="s">
        <v>23</v>
      </c>
      <c r="C9" s="6" t="s">
        <v>9</v>
      </c>
      <c r="D9" s="6" t="s">
        <v>21</v>
      </c>
      <c r="E9" s="6" t="s">
        <v>17</v>
      </c>
      <c r="F9" s="6">
        <v>1</v>
      </c>
      <c r="G9" s="6">
        <v>604</v>
      </c>
    </row>
    <row r="10" s="2" customFormat="true" ht="22.5" customHeight="true" spans="1:7">
      <c r="A10" s="6">
        <f>8</f>
        <v>8</v>
      </c>
      <c r="B10" s="6" t="s">
        <v>24</v>
      </c>
      <c r="C10" s="6" t="s">
        <v>9</v>
      </c>
      <c r="D10" s="6" t="s">
        <v>10</v>
      </c>
      <c r="E10" s="6" t="s">
        <v>11</v>
      </c>
      <c r="F10" s="6">
        <v>2</v>
      </c>
      <c r="G10" s="6">
        <v>1124</v>
      </c>
    </row>
    <row r="11" s="2" customFormat="true" ht="22.5" customHeight="true" spans="1:7">
      <c r="A11" s="6">
        <f>9</f>
        <v>9</v>
      </c>
      <c r="B11" s="6" t="s">
        <v>25</v>
      </c>
      <c r="C11" s="6" t="s">
        <v>9</v>
      </c>
      <c r="D11" s="6" t="s">
        <v>19</v>
      </c>
      <c r="E11" s="6" t="s">
        <v>11</v>
      </c>
      <c r="F11" s="6">
        <v>1</v>
      </c>
      <c r="G11" s="6">
        <v>639</v>
      </c>
    </row>
    <row r="12" s="2" customFormat="true" ht="22.5" customHeight="true" spans="1:7">
      <c r="A12" s="6">
        <f>10</f>
        <v>10</v>
      </c>
      <c r="B12" s="6" t="s">
        <v>26</v>
      </c>
      <c r="C12" s="6" t="s">
        <v>9</v>
      </c>
      <c r="D12" s="6" t="s">
        <v>27</v>
      </c>
      <c r="E12" s="6" t="s">
        <v>17</v>
      </c>
      <c r="F12" s="6">
        <v>1</v>
      </c>
      <c r="G12" s="6">
        <v>661</v>
      </c>
    </row>
    <row r="13" s="2" customFormat="true" ht="22.5" customHeight="true" spans="1:7">
      <c r="A13" s="6">
        <f>11</f>
        <v>11</v>
      </c>
      <c r="B13" s="6" t="s">
        <v>28</v>
      </c>
      <c r="C13" s="6" t="s">
        <v>15</v>
      </c>
      <c r="D13" s="6" t="s">
        <v>19</v>
      </c>
      <c r="E13" s="6" t="s">
        <v>17</v>
      </c>
      <c r="F13" s="6">
        <v>2</v>
      </c>
      <c r="G13" s="6">
        <v>1264</v>
      </c>
    </row>
    <row r="14" s="2" customFormat="true" ht="22.5" customHeight="true" spans="1:7">
      <c r="A14" s="6">
        <f>12</f>
        <v>12</v>
      </c>
      <c r="B14" s="6" t="s">
        <v>29</v>
      </c>
      <c r="C14" s="6" t="s">
        <v>15</v>
      </c>
      <c r="D14" s="6" t="s">
        <v>27</v>
      </c>
      <c r="E14" s="6" t="s">
        <v>11</v>
      </c>
      <c r="F14" s="6">
        <v>1</v>
      </c>
      <c r="G14" s="6">
        <v>711</v>
      </c>
    </row>
    <row r="15" s="2" customFormat="true" ht="22.5" customHeight="true" spans="1:7">
      <c r="A15" s="6">
        <f>13</f>
        <v>13</v>
      </c>
      <c r="B15" s="6" t="s">
        <v>30</v>
      </c>
      <c r="C15" s="6" t="s">
        <v>9</v>
      </c>
      <c r="D15" s="6" t="s">
        <v>21</v>
      </c>
      <c r="E15" s="6" t="s">
        <v>11</v>
      </c>
      <c r="F15" s="6">
        <v>1</v>
      </c>
      <c r="G15" s="6">
        <v>614</v>
      </c>
    </row>
    <row r="16" s="2" customFormat="true" ht="22.5" customHeight="true" spans="1:7">
      <c r="A16" s="6">
        <f>14</f>
        <v>14</v>
      </c>
      <c r="B16" s="6" t="s">
        <v>31</v>
      </c>
      <c r="C16" s="6" t="s">
        <v>15</v>
      </c>
      <c r="D16" s="6" t="s">
        <v>19</v>
      </c>
      <c r="E16" s="6" t="s">
        <v>11</v>
      </c>
      <c r="F16" s="6">
        <v>1</v>
      </c>
      <c r="G16" s="6">
        <v>619</v>
      </c>
    </row>
    <row r="17" s="2" customFormat="true" ht="22.5" customHeight="true" spans="1:7">
      <c r="A17" s="6">
        <f>15</f>
        <v>15</v>
      </c>
      <c r="B17" s="6" t="s">
        <v>32</v>
      </c>
      <c r="C17" s="6" t="s">
        <v>15</v>
      </c>
      <c r="D17" s="6" t="s">
        <v>19</v>
      </c>
      <c r="E17" s="6" t="s">
        <v>11</v>
      </c>
      <c r="F17" s="6">
        <v>2</v>
      </c>
      <c r="G17" s="6">
        <v>1090</v>
      </c>
    </row>
    <row r="18" s="2" customFormat="true" ht="22.5" customHeight="true" spans="1:7">
      <c r="A18" s="6">
        <f>16</f>
        <v>16</v>
      </c>
      <c r="B18" s="6" t="s">
        <v>33</v>
      </c>
      <c r="C18" s="6" t="s">
        <v>15</v>
      </c>
      <c r="D18" s="6" t="s">
        <v>19</v>
      </c>
      <c r="E18" s="6" t="s">
        <v>11</v>
      </c>
      <c r="F18" s="6">
        <v>1</v>
      </c>
      <c r="G18" s="6">
        <v>619</v>
      </c>
    </row>
    <row r="19" s="2" customFormat="true" ht="22.5" customHeight="true" spans="1:7">
      <c r="A19" s="6">
        <f>17</f>
        <v>17</v>
      </c>
      <c r="B19" s="6" t="s">
        <v>34</v>
      </c>
      <c r="C19" s="6" t="s">
        <v>15</v>
      </c>
      <c r="D19" s="6" t="s">
        <v>35</v>
      </c>
      <c r="E19" s="6" t="s">
        <v>11</v>
      </c>
      <c r="F19" s="6">
        <v>1</v>
      </c>
      <c r="G19" s="6">
        <v>566</v>
      </c>
    </row>
    <row r="20" s="2" customFormat="true" ht="22.5" customHeight="true" spans="1:7">
      <c r="A20" s="6">
        <f>18</f>
        <v>18</v>
      </c>
      <c r="B20" s="6" t="s">
        <v>36</v>
      </c>
      <c r="C20" s="6" t="s">
        <v>9</v>
      </c>
      <c r="D20" s="6" t="s">
        <v>19</v>
      </c>
      <c r="E20" s="6" t="s">
        <v>11</v>
      </c>
      <c r="F20" s="6">
        <v>1</v>
      </c>
      <c r="G20" s="6">
        <v>629</v>
      </c>
    </row>
    <row r="21" s="2" customFormat="true" ht="22.5" customHeight="true" spans="1:7">
      <c r="A21" s="6">
        <f>19</f>
        <v>19</v>
      </c>
      <c r="B21" s="6" t="s">
        <v>37</v>
      </c>
      <c r="C21" s="6" t="s">
        <v>15</v>
      </c>
      <c r="D21" s="6" t="s">
        <v>10</v>
      </c>
      <c r="E21" s="6" t="s">
        <v>11</v>
      </c>
      <c r="F21" s="6">
        <v>1</v>
      </c>
      <c r="G21" s="6">
        <v>614</v>
      </c>
    </row>
    <row r="22" s="2" customFormat="true" ht="22.5" customHeight="true" spans="1:7">
      <c r="A22" s="6">
        <f>20</f>
        <v>20</v>
      </c>
      <c r="B22" s="6" t="s">
        <v>38</v>
      </c>
      <c r="C22" s="6" t="s">
        <v>15</v>
      </c>
      <c r="D22" s="6" t="s">
        <v>35</v>
      </c>
      <c r="E22" s="6" t="s">
        <v>11</v>
      </c>
      <c r="F22" s="6">
        <v>1</v>
      </c>
      <c r="G22" s="6">
        <v>595</v>
      </c>
    </row>
    <row r="23" s="2" customFormat="true" ht="22.5" customHeight="true" spans="1:7">
      <c r="A23" s="6">
        <f>21</f>
        <v>21</v>
      </c>
      <c r="B23" s="6" t="s">
        <v>39</v>
      </c>
      <c r="C23" s="6" t="s">
        <v>15</v>
      </c>
      <c r="D23" s="6" t="s">
        <v>21</v>
      </c>
      <c r="E23" s="6" t="s">
        <v>11</v>
      </c>
      <c r="F23" s="6">
        <v>1</v>
      </c>
      <c r="G23" s="6">
        <v>604</v>
      </c>
    </row>
    <row r="24" s="2" customFormat="true" ht="22.5" customHeight="true" spans="1:7">
      <c r="A24" s="6">
        <f>22</f>
        <v>22</v>
      </c>
      <c r="B24" s="6" t="s">
        <v>40</v>
      </c>
      <c r="C24" s="6" t="s">
        <v>15</v>
      </c>
      <c r="D24" s="6" t="s">
        <v>19</v>
      </c>
      <c r="E24" s="6" t="s">
        <v>11</v>
      </c>
      <c r="F24" s="6">
        <v>1</v>
      </c>
      <c r="G24" s="6">
        <v>606</v>
      </c>
    </row>
    <row r="25" s="2" customFormat="true" ht="22.5" customHeight="true" spans="1:7">
      <c r="A25" s="6">
        <f>23</f>
        <v>23</v>
      </c>
      <c r="B25" s="6" t="s">
        <v>29</v>
      </c>
      <c r="C25" s="6" t="s">
        <v>15</v>
      </c>
      <c r="D25" s="6" t="s">
        <v>10</v>
      </c>
      <c r="E25" s="6" t="s">
        <v>11</v>
      </c>
      <c r="F25" s="6">
        <v>1</v>
      </c>
      <c r="G25" s="6">
        <v>614</v>
      </c>
    </row>
    <row r="26" s="2" customFormat="true" ht="22.5" customHeight="true" spans="1:7">
      <c r="A26" s="6">
        <f>24</f>
        <v>24</v>
      </c>
      <c r="B26" s="6" t="s">
        <v>41</v>
      </c>
      <c r="C26" s="6" t="s">
        <v>9</v>
      </c>
      <c r="D26" s="6" t="s">
        <v>21</v>
      </c>
      <c r="E26" s="6" t="s">
        <v>11</v>
      </c>
      <c r="F26" s="6">
        <v>1</v>
      </c>
      <c r="G26" s="6">
        <v>599</v>
      </c>
    </row>
    <row r="27" s="2" customFormat="true" ht="22.5" customHeight="true" spans="1:7">
      <c r="A27" s="6">
        <f>25</f>
        <v>25</v>
      </c>
      <c r="B27" s="6" t="s">
        <v>42</v>
      </c>
      <c r="C27" s="6" t="s">
        <v>9</v>
      </c>
      <c r="D27" s="6" t="s">
        <v>19</v>
      </c>
      <c r="E27" s="6" t="s">
        <v>11</v>
      </c>
      <c r="F27" s="6">
        <v>2</v>
      </c>
      <c r="G27" s="6">
        <v>1228</v>
      </c>
    </row>
    <row r="28" s="2" customFormat="true" ht="22.5" customHeight="true" spans="1:7">
      <c r="A28" s="6">
        <f>26</f>
        <v>26</v>
      </c>
      <c r="B28" s="6" t="s">
        <v>43</v>
      </c>
      <c r="C28" s="6" t="s">
        <v>15</v>
      </c>
      <c r="D28" s="6" t="s">
        <v>21</v>
      </c>
      <c r="E28" s="6" t="s">
        <v>11</v>
      </c>
      <c r="F28" s="6">
        <v>1</v>
      </c>
      <c r="G28" s="6">
        <v>604</v>
      </c>
    </row>
    <row r="29" s="2" customFormat="true" ht="22.5" customHeight="true" spans="1:7">
      <c r="A29" s="6">
        <f>27</f>
        <v>27</v>
      </c>
      <c r="B29" s="6" t="s">
        <v>44</v>
      </c>
      <c r="C29" s="6" t="s">
        <v>9</v>
      </c>
      <c r="D29" s="6" t="s">
        <v>10</v>
      </c>
      <c r="E29" s="6" t="s">
        <v>17</v>
      </c>
      <c r="F29" s="6">
        <v>2</v>
      </c>
      <c r="G29" s="6">
        <v>1180</v>
      </c>
    </row>
    <row r="30" s="2" customFormat="true" ht="22.5" customHeight="true" spans="1:7">
      <c r="A30" s="6">
        <f>28</f>
        <v>28</v>
      </c>
      <c r="B30" s="6" t="s">
        <v>45</v>
      </c>
      <c r="C30" s="6" t="s">
        <v>15</v>
      </c>
      <c r="D30" s="6" t="s">
        <v>10</v>
      </c>
      <c r="E30" s="6" t="s">
        <v>17</v>
      </c>
      <c r="F30" s="6">
        <v>1</v>
      </c>
      <c r="G30" s="6">
        <v>656</v>
      </c>
    </row>
    <row r="31" s="2" customFormat="true" ht="22.5" customHeight="true" spans="1:7">
      <c r="A31" s="6">
        <f>29</f>
        <v>29</v>
      </c>
      <c r="B31" s="6" t="s">
        <v>46</v>
      </c>
      <c r="C31" s="6" t="s">
        <v>15</v>
      </c>
      <c r="D31" s="6" t="s">
        <v>10</v>
      </c>
      <c r="E31" s="6" t="s">
        <v>11</v>
      </c>
      <c r="F31" s="6">
        <v>1</v>
      </c>
      <c r="G31" s="6">
        <v>576</v>
      </c>
    </row>
    <row r="32" s="2" customFormat="true" ht="22.5" customHeight="true" spans="1:7">
      <c r="A32" s="6">
        <f>30</f>
        <v>30</v>
      </c>
      <c r="B32" s="6" t="s">
        <v>47</v>
      </c>
      <c r="C32" s="6" t="s">
        <v>9</v>
      </c>
      <c r="D32" s="6" t="s">
        <v>35</v>
      </c>
      <c r="E32" s="6" t="s">
        <v>17</v>
      </c>
      <c r="F32" s="6">
        <v>2</v>
      </c>
      <c r="G32" s="6">
        <v>1266</v>
      </c>
    </row>
    <row r="33" s="2" customFormat="true" ht="22.5" customHeight="true" spans="1:7">
      <c r="A33" s="6">
        <f>31</f>
        <v>31</v>
      </c>
      <c r="B33" s="6" t="s">
        <v>48</v>
      </c>
      <c r="C33" s="6" t="s">
        <v>9</v>
      </c>
      <c r="D33" s="6" t="s">
        <v>49</v>
      </c>
      <c r="E33" s="6" t="s">
        <v>11</v>
      </c>
      <c r="F33" s="6">
        <v>1</v>
      </c>
      <c r="G33" s="6">
        <v>581</v>
      </c>
    </row>
    <row r="34" s="2" customFormat="true" ht="22.5" customHeight="true" spans="1:7">
      <c r="A34" s="6">
        <f>32</f>
        <v>32</v>
      </c>
      <c r="B34" s="6" t="s">
        <v>50</v>
      </c>
      <c r="C34" s="6" t="s">
        <v>9</v>
      </c>
      <c r="D34" s="6" t="s">
        <v>19</v>
      </c>
      <c r="E34" s="6" t="s">
        <v>17</v>
      </c>
      <c r="F34" s="6">
        <v>2</v>
      </c>
      <c r="G34" s="6">
        <v>1180</v>
      </c>
    </row>
    <row r="35" s="2" customFormat="true" ht="22.5" customHeight="true" spans="1:7">
      <c r="A35" s="6">
        <f>33</f>
        <v>33</v>
      </c>
      <c r="B35" s="6" t="s">
        <v>51</v>
      </c>
      <c r="C35" s="6" t="s">
        <v>9</v>
      </c>
      <c r="D35" s="6" t="s">
        <v>27</v>
      </c>
      <c r="E35" s="6" t="s">
        <v>11</v>
      </c>
      <c r="F35" s="6">
        <v>1</v>
      </c>
      <c r="G35" s="6">
        <v>580</v>
      </c>
    </row>
    <row r="36" s="2" customFormat="true" ht="22.5" customHeight="true" spans="1:7">
      <c r="A36" s="6">
        <f>34</f>
        <v>34</v>
      </c>
      <c r="B36" s="6" t="s">
        <v>52</v>
      </c>
      <c r="C36" s="6" t="s">
        <v>15</v>
      </c>
      <c r="D36" s="6" t="s">
        <v>19</v>
      </c>
      <c r="E36" s="6" t="s">
        <v>11</v>
      </c>
      <c r="F36" s="6">
        <v>1</v>
      </c>
      <c r="G36" s="6">
        <v>624</v>
      </c>
    </row>
    <row r="37" s="2" customFormat="true" ht="22.5" customHeight="true" spans="1:7">
      <c r="A37" s="6">
        <f>35</f>
        <v>35</v>
      </c>
      <c r="B37" s="6" t="s">
        <v>53</v>
      </c>
      <c r="C37" s="6" t="s">
        <v>15</v>
      </c>
      <c r="D37" s="6" t="s">
        <v>35</v>
      </c>
      <c r="E37" s="6" t="s">
        <v>11</v>
      </c>
      <c r="F37" s="6">
        <v>1</v>
      </c>
      <c r="G37" s="6">
        <v>624</v>
      </c>
    </row>
    <row r="38" s="2" customFormat="true" ht="22.5" customHeight="true" spans="1:7">
      <c r="A38" s="6">
        <f>36</f>
        <v>36</v>
      </c>
      <c r="B38" s="6" t="s">
        <v>54</v>
      </c>
      <c r="C38" s="6" t="s">
        <v>9</v>
      </c>
      <c r="D38" s="6" t="s">
        <v>21</v>
      </c>
      <c r="E38" s="6" t="s">
        <v>11</v>
      </c>
      <c r="F38" s="6">
        <v>1</v>
      </c>
      <c r="G38" s="6">
        <v>572</v>
      </c>
    </row>
    <row r="39" s="2" customFormat="true" ht="22.5" customHeight="true" spans="1:7">
      <c r="A39" s="6">
        <f>37</f>
        <v>37</v>
      </c>
      <c r="B39" s="6" t="s">
        <v>55</v>
      </c>
      <c r="C39" s="6" t="s">
        <v>9</v>
      </c>
      <c r="D39" s="6" t="s">
        <v>35</v>
      </c>
      <c r="E39" s="6" t="s">
        <v>11</v>
      </c>
      <c r="F39" s="6">
        <v>2</v>
      </c>
      <c r="G39" s="6">
        <v>1018</v>
      </c>
    </row>
    <row r="40" s="2" customFormat="true" ht="22.5" customHeight="true" spans="1:7">
      <c r="A40" s="6">
        <f>38</f>
        <v>38</v>
      </c>
      <c r="B40" s="6" t="s">
        <v>56</v>
      </c>
      <c r="C40" s="6" t="s">
        <v>9</v>
      </c>
      <c r="D40" s="6" t="s">
        <v>19</v>
      </c>
      <c r="E40" s="6" t="s">
        <v>11</v>
      </c>
      <c r="F40" s="6">
        <v>2</v>
      </c>
      <c r="G40" s="6">
        <v>1098</v>
      </c>
    </row>
    <row r="41" s="2" customFormat="true" ht="22.5" customHeight="true" spans="1:7">
      <c r="A41" s="6">
        <f>39</f>
        <v>39</v>
      </c>
      <c r="B41" s="6" t="s">
        <v>57</v>
      </c>
      <c r="C41" s="6" t="s">
        <v>15</v>
      </c>
      <c r="D41" s="6" t="s">
        <v>21</v>
      </c>
      <c r="E41" s="6" t="s">
        <v>11</v>
      </c>
      <c r="F41" s="6">
        <v>1</v>
      </c>
      <c r="G41" s="6">
        <v>562</v>
      </c>
    </row>
    <row r="42" s="2" customFormat="true" ht="22.5" customHeight="true" spans="1:7">
      <c r="A42" s="6">
        <f>40</f>
        <v>40</v>
      </c>
      <c r="B42" s="6" t="s">
        <v>58</v>
      </c>
      <c r="C42" s="6" t="s">
        <v>9</v>
      </c>
      <c r="D42" s="6" t="s">
        <v>35</v>
      </c>
      <c r="E42" s="6" t="s">
        <v>11</v>
      </c>
      <c r="F42" s="6">
        <v>2</v>
      </c>
      <c r="G42" s="6">
        <v>1104</v>
      </c>
    </row>
    <row r="43" s="2" customFormat="true" ht="22.5" customHeight="true" spans="1:7">
      <c r="A43" s="6">
        <f>41</f>
        <v>41</v>
      </c>
      <c r="B43" s="6" t="s">
        <v>59</v>
      </c>
      <c r="C43" s="6" t="s">
        <v>9</v>
      </c>
      <c r="D43" s="6" t="s">
        <v>21</v>
      </c>
      <c r="E43" s="6" t="s">
        <v>11</v>
      </c>
      <c r="F43" s="6">
        <v>2</v>
      </c>
      <c r="G43" s="6">
        <v>1118</v>
      </c>
    </row>
    <row r="44" s="2" customFormat="true" ht="22.5" customHeight="true" spans="1:7">
      <c r="A44" s="6">
        <f>42</f>
        <v>42</v>
      </c>
      <c r="B44" s="6" t="s">
        <v>60</v>
      </c>
      <c r="C44" s="6" t="s">
        <v>9</v>
      </c>
      <c r="D44" s="6" t="s">
        <v>21</v>
      </c>
      <c r="E44" s="6" t="s">
        <v>11</v>
      </c>
      <c r="F44" s="6">
        <v>2</v>
      </c>
      <c r="G44" s="6">
        <v>1158</v>
      </c>
    </row>
    <row r="45" s="2" customFormat="true" ht="22.5" customHeight="true" spans="1:7">
      <c r="A45" s="6">
        <f>43</f>
        <v>43</v>
      </c>
      <c r="B45" s="6" t="s">
        <v>61</v>
      </c>
      <c r="C45" s="6" t="s">
        <v>9</v>
      </c>
      <c r="D45" s="6" t="s">
        <v>19</v>
      </c>
      <c r="E45" s="6" t="s">
        <v>11</v>
      </c>
      <c r="F45" s="6">
        <v>2</v>
      </c>
      <c r="G45" s="6">
        <v>1104</v>
      </c>
    </row>
    <row r="46" s="2" customFormat="true" ht="22.5" customHeight="true" spans="1:7">
      <c r="A46" s="6">
        <f>44</f>
        <v>44</v>
      </c>
      <c r="B46" s="6" t="s">
        <v>62</v>
      </c>
      <c r="C46" s="6" t="s">
        <v>9</v>
      </c>
      <c r="D46" s="6" t="s">
        <v>21</v>
      </c>
      <c r="E46" s="6" t="s">
        <v>11</v>
      </c>
      <c r="F46" s="6">
        <v>1</v>
      </c>
      <c r="G46" s="6">
        <v>531</v>
      </c>
    </row>
    <row r="47" s="2" customFormat="true" ht="22.5" customHeight="true" spans="1:7">
      <c r="A47" s="6">
        <f>45</f>
        <v>45</v>
      </c>
      <c r="B47" s="6" t="s">
        <v>63</v>
      </c>
      <c r="C47" s="6" t="s">
        <v>9</v>
      </c>
      <c r="D47" s="6" t="s">
        <v>19</v>
      </c>
      <c r="E47" s="6" t="s">
        <v>11</v>
      </c>
      <c r="F47" s="6">
        <v>1</v>
      </c>
      <c r="G47" s="6">
        <v>596</v>
      </c>
    </row>
    <row r="48" s="2" customFormat="true" ht="22.5" customHeight="true" spans="1:7">
      <c r="A48" s="6">
        <f>46</f>
        <v>46</v>
      </c>
      <c r="B48" s="6" t="s">
        <v>64</v>
      </c>
      <c r="C48" s="6" t="s">
        <v>15</v>
      </c>
      <c r="D48" s="6" t="s">
        <v>10</v>
      </c>
      <c r="E48" s="6" t="s">
        <v>11</v>
      </c>
      <c r="F48" s="6">
        <v>1</v>
      </c>
      <c r="G48" s="6">
        <v>549</v>
      </c>
    </row>
    <row r="49" s="2" customFormat="true" ht="22.5" customHeight="true" spans="1:7">
      <c r="A49" s="6">
        <f>47</f>
        <v>47</v>
      </c>
      <c r="B49" s="6" t="s">
        <v>65</v>
      </c>
      <c r="C49" s="6" t="s">
        <v>9</v>
      </c>
      <c r="D49" s="6" t="s">
        <v>21</v>
      </c>
      <c r="E49" s="6" t="s">
        <v>17</v>
      </c>
      <c r="F49" s="6">
        <v>2</v>
      </c>
      <c r="G49" s="6">
        <v>1219</v>
      </c>
    </row>
    <row r="50" s="2" customFormat="true" ht="22.5" customHeight="true" spans="1:7">
      <c r="A50" s="6">
        <f>48</f>
        <v>48</v>
      </c>
      <c r="B50" s="6" t="s">
        <v>66</v>
      </c>
      <c r="C50" s="6" t="s">
        <v>15</v>
      </c>
      <c r="D50" s="6" t="s">
        <v>67</v>
      </c>
      <c r="E50" s="6" t="s">
        <v>11</v>
      </c>
      <c r="F50" s="6">
        <v>1</v>
      </c>
      <c r="G50" s="6">
        <v>557</v>
      </c>
    </row>
    <row r="51" s="2" customFormat="true" ht="22.5" customHeight="true" spans="1:7">
      <c r="A51" s="6">
        <f>49</f>
        <v>49</v>
      </c>
      <c r="B51" s="6" t="s">
        <v>68</v>
      </c>
      <c r="C51" s="6" t="s">
        <v>15</v>
      </c>
      <c r="D51" s="6" t="s">
        <v>21</v>
      </c>
      <c r="E51" s="6" t="s">
        <v>11</v>
      </c>
      <c r="F51" s="6">
        <v>1</v>
      </c>
      <c r="G51" s="6">
        <v>567</v>
      </c>
    </row>
    <row r="52" s="2" customFormat="true" ht="22.5" customHeight="true" spans="1:7">
      <c r="A52" s="6">
        <f>50</f>
        <v>50</v>
      </c>
      <c r="B52" s="6" t="s">
        <v>69</v>
      </c>
      <c r="C52" s="6" t="s">
        <v>15</v>
      </c>
      <c r="D52" s="6" t="s">
        <v>35</v>
      </c>
      <c r="E52" s="6" t="s">
        <v>17</v>
      </c>
      <c r="F52" s="6">
        <v>1</v>
      </c>
      <c r="G52" s="6">
        <v>678</v>
      </c>
    </row>
    <row r="53" s="2" customFormat="true" ht="22.5" customHeight="true" spans="1:7">
      <c r="A53" s="6">
        <f>51</f>
        <v>51</v>
      </c>
      <c r="B53" s="6" t="s">
        <v>70</v>
      </c>
      <c r="C53" s="6" t="s">
        <v>9</v>
      </c>
      <c r="D53" s="6" t="s">
        <v>21</v>
      </c>
      <c r="E53" s="6" t="s">
        <v>17</v>
      </c>
      <c r="F53" s="6">
        <v>1</v>
      </c>
      <c r="G53" s="6">
        <v>619</v>
      </c>
    </row>
    <row r="54" s="2" customFormat="true" ht="22.5" customHeight="true" spans="1:7">
      <c r="A54" s="6">
        <f>52</f>
        <v>52</v>
      </c>
      <c r="B54" s="6" t="s">
        <v>71</v>
      </c>
      <c r="C54" s="6" t="s">
        <v>9</v>
      </c>
      <c r="D54" s="6" t="s">
        <v>13</v>
      </c>
      <c r="E54" s="6" t="s">
        <v>11</v>
      </c>
      <c r="F54" s="6">
        <v>1</v>
      </c>
      <c r="G54" s="6">
        <v>438</v>
      </c>
    </row>
    <row r="55" s="2" customFormat="true" ht="22.5" customHeight="true" spans="1:7">
      <c r="A55" s="6">
        <f>53</f>
        <v>53</v>
      </c>
      <c r="B55" s="6" t="s">
        <v>72</v>
      </c>
      <c r="C55" s="6" t="s">
        <v>9</v>
      </c>
      <c r="D55" s="6" t="s">
        <v>21</v>
      </c>
      <c r="E55" s="6" t="s">
        <v>17</v>
      </c>
      <c r="F55" s="6">
        <v>2</v>
      </c>
      <c r="G55" s="6">
        <v>1106</v>
      </c>
    </row>
    <row r="56" s="2" customFormat="true" ht="22.5" customHeight="true" spans="1:7">
      <c r="A56" s="6">
        <f>54</f>
        <v>54</v>
      </c>
      <c r="B56" s="6" t="s">
        <v>73</v>
      </c>
      <c r="C56" s="6" t="s">
        <v>9</v>
      </c>
      <c r="D56" s="6" t="s">
        <v>35</v>
      </c>
      <c r="E56" s="6" t="s">
        <v>17</v>
      </c>
      <c r="F56" s="6">
        <v>1</v>
      </c>
      <c r="G56" s="6">
        <v>632</v>
      </c>
    </row>
    <row r="57" s="2" customFormat="true" ht="22.5" customHeight="true" spans="1:7">
      <c r="A57" s="6">
        <f>55</f>
        <v>55</v>
      </c>
      <c r="B57" s="6" t="s">
        <v>74</v>
      </c>
      <c r="C57" s="6" t="s">
        <v>9</v>
      </c>
      <c r="D57" s="6" t="s">
        <v>35</v>
      </c>
      <c r="E57" s="6" t="s">
        <v>17</v>
      </c>
      <c r="F57" s="6">
        <v>2</v>
      </c>
      <c r="G57" s="6">
        <v>1246</v>
      </c>
    </row>
    <row r="58" s="2" customFormat="true" ht="22.5" customHeight="true" spans="1:7">
      <c r="A58" s="6">
        <f>56</f>
        <v>56</v>
      </c>
      <c r="B58" s="6" t="s">
        <v>75</v>
      </c>
      <c r="C58" s="6" t="s">
        <v>9</v>
      </c>
      <c r="D58" s="6" t="s">
        <v>10</v>
      </c>
      <c r="E58" s="6" t="s">
        <v>17</v>
      </c>
      <c r="F58" s="6">
        <v>1</v>
      </c>
      <c r="G58" s="6">
        <v>624</v>
      </c>
    </row>
    <row r="59" s="2" customFormat="true" ht="22.5" customHeight="true" spans="1:7">
      <c r="A59" s="6">
        <f>57</f>
        <v>57</v>
      </c>
      <c r="B59" s="6" t="s">
        <v>76</v>
      </c>
      <c r="C59" s="6" t="s">
        <v>9</v>
      </c>
      <c r="D59" s="6" t="s">
        <v>21</v>
      </c>
      <c r="E59" s="6" t="s">
        <v>17</v>
      </c>
      <c r="F59" s="6">
        <v>1</v>
      </c>
      <c r="G59" s="6">
        <v>729</v>
      </c>
    </row>
    <row r="60" s="2" customFormat="true" ht="22.5" customHeight="true" spans="1:7">
      <c r="A60" s="6">
        <f>58</f>
        <v>58</v>
      </c>
      <c r="B60" s="6" t="s">
        <v>77</v>
      </c>
      <c r="C60" s="6" t="s">
        <v>9</v>
      </c>
      <c r="D60" s="6" t="s">
        <v>19</v>
      </c>
      <c r="E60" s="6" t="s">
        <v>17</v>
      </c>
      <c r="F60" s="6">
        <v>1</v>
      </c>
      <c r="G60" s="6">
        <v>708</v>
      </c>
    </row>
    <row r="61" s="2" customFormat="true" ht="22.5" customHeight="true" spans="1:7">
      <c r="A61" s="6">
        <f>59</f>
        <v>59</v>
      </c>
      <c r="B61" s="6" t="s">
        <v>78</v>
      </c>
      <c r="C61" s="6" t="s">
        <v>15</v>
      </c>
      <c r="D61" s="6" t="s">
        <v>27</v>
      </c>
      <c r="E61" s="6" t="s">
        <v>79</v>
      </c>
      <c r="F61" s="6">
        <v>1</v>
      </c>
      <c r="G61" s="6">
        <v>404</v>
      </c>
    </row>
    <row r="62" s="2" customFormat="true" ht="22.5" customHeight="true" spans="1:7">
      <c r="A62" s="6">
        <f>60</f>
        <v>60</v>
      </c>
      <c r="B62" s="6" t="s">
        <v>80</v>
      </c>
      <c r="C62" s="6" t="s">
        <v>15</v>
      </c>
      <c r="D62" s="6" t="s">
        <v>27</v>
      </c>
      <c r="E62" s="6" t="s">
        <v>17</v>
      </c>
      <c r="F62" s="6">
        <v>1</v>
      </c>
      <c r="G62" s="6">
        <v>627</v>
      </c>
    </row>
    <row r="63" s="2" customFormat="true" ht="22.5" customHeight="true" spans="1:7">
      <c r="A63" s="6">
        <f>61</f>
        <v>61</v>
      </c>
      <c r="B63" s="6" t="s">
        <v>81</v>
      </c>
      <c r="C63" s="6" t="s">
        <v>9</v>
      </c>
      <c r="D63" s="6" t="s">
        <v>21</v>
      </c>
      <c r="E63" s="6" t="s">
        <v>79</v>
      </c>
      <c r="F63" s="6">
        <v>2</v>
      </c>
      <c r="G63" s="6">
        <v>1060</v>
      </c>
    </row>
    <row r="64" s="2" customFormat="true" ht="22.5" customHeight="true" spans="1:7">
      <c r="A64" s="6">
        <f>62</f>
        <v>62</v>
      </c>
      <c r="B64" s="6" t="s">
        <v>82</v>
      </c>
      <c r="C64" s="6" t="s">
        <v>15</v>
      </c>
      <c r="D64" s="6" t="s">
        <v>35</v>
      </c>
      <c r="E64" s="6" t="s">
        <v>17</v>
      </c>
      <c r="F64" s="6">
        <v>1</v>
      </c>
      <c r="G64" s="6">
        <v>642</v>
      </c>
    </row>
    <row r="65" s="2" customFormat="true" ht="22.5" customHeight="true" spans="1:7">
      <c r="A65" s="6">
        <f>63</f>
        <v>63</v>
      </c>
      <c r="B65" s="6" t="s">
        <v>83</v>
      </c>
      <c r="C65" s="6" t="s">
        <v>9</v>
      </c>
      <c r="D65" s="6" t="s">
        <v>67</v>
      </c>
      <c r="E65" s="6" t="s">
        <v>11</v>
      </c>
      <c r="F65" s="6">
        <v>2</v>
      </c>
      <c r="G65" s="6">
        <v>1093</v>
      </c>
    </row>
    <row r="66" s="2" customFormat="true" ht="22.5" customHeight="true" spans="1:7">
      <c r="A66" s="6">
        <f>64</f>
        <v>64</v>
      </c>
      <c r="B66" s="6" t="s">
        <v>84</v>
      </c>
      <c r="C66" s="6" t="s">
        <v>9</v>
      </c>
      <c r="D66" s="6" t="s">
        <v>21</v>
      </c>
      <c r="E66" s="6" t="s">
        <v>17</v>
      </c>
      <c r="F66" s="6">
        <v>2</v>
      </c>
      <c r="G66" s="6">
        <v>1061</v>
      </c>
    </row>
    <row r="67" s="2" customFormat="true" ht="22.5" customHeight="true" spans="1:7">
      <c r="A67" s="6">
        <f>65</f>
        <v>65</v>
      </c>
      <c r="B67" s="6" t="s">
        <v>85</v>
      </c>
      <c r="C67" s="6" t="s">
        <v>15</v>
      </c>
      <c r="D67" s="6" t="s">
        <v>27</v>
      </c>
      <c r="E67" s="6" t="s">
        <v>17</v>
      </c>
      <c r="F67" s="6">
        <v>1</v>
      </c>
      <c r="G67" s="6">
        <v>698</v>
      </c>
    </row>
    <row r="68" s="2" customFormat="true" ht="22.5" customHeight="true" spans="1:7">
      <c r="A68" s="6">
        <f>66</f>
        <v>66</v>
      </c>
      <c r="B68" s="6" t="s">
        <v>86</v>
      </c>
      <c r="C68" s="6" t="s">
        <v>9</v>
      </c>
      <c r="D68" s="6" t="s">
        <v>10</v>
      </c>
      <c r="E68" s="6" t="s">
        <v>11</v>
      </c>
      <c r="F68" s="6">
        <v>1</v>
      </c>
      <c r="G68" s="6">
        <v>560</v>
      </c>
    </row>
    <row r="69" s="2" customFormat="true" ht="22.5" customHeight="true" spans="1:7">
      <c r="A69" s="6">
        <f>67</f>
        <v>67</v>
      </c>
      <c r="B69" s="6" t="s">
        <v>87</v>
      </c>
      <c r="C69" s="6" t="s">
        <v>15</v>
      </c>
      <c r="D69" s="6" t="s">
        <v>19</v>
      </c>
      <c r="E69" s="6" t="s">
        <v>17</v>
      </c>
      <c r="F69" s="6">
        <v>1</v>
      </c>
      <c r="G69" s="6">
        <v>624</v>
      </c>
    </row>
    <row r="70" s="2" customFormat="true" ht="22.5" customHeight="true" spans="1:7">
      <c r="A70" s="6">
        <f>68</f>
        <v>68</v>
      </c>
      <c r="B70" s="6" t="s">
        <v>88</v>
      </c>
      <c r="C70" s="6" t="s">
        <v>9</v>
      </c>
      <c r="D70" s="6" t="s">
        <v>35</v>
      </c>
      <c r="E70" s="6" t="s">
        <v>11</v>
      </c>
      <c r="F70" s="6">
        <v>1</v>
      </c>
      <c r="G70" s="6">
        <v>596</v>
      </c>
    </row>
    <row r="71" s="2" customFormat="true" ht="22.5" customHeight="true" spans="1:7">
      <c r="A71" s="6">
        <f>69</f>
        <v>69</v>
      </c>
      <c r="B71" s="6" t="s">
        <v>89</v>
      </c>
      <c r="C71" s="6" t="s">
        <v>9</v>
      </c>
      <c r="D71" s="6" t="s">
        <v>10</v>
      </c>
      <c r="E71" s="6" t="s">
        <v>11</v>
      </c>
      <c r="F71" s="6">
        <v>5</v>
      </c>
      <c r="G71" s="6">
        <v>2685</v>
      </c>
    </row>
    <row r="72" s="2" customFormat="true" ht="22.5" customHeight="true" spans="1:7">
      <c r="A72" s="6">
        <f>70</f>
        <v>70</v>
      </c>
      <c r="B72" s="6" t="s">
        <v>90</v>
      </c>
      <c r="C72" s="6" t="s">
        <v>9</v>
      </c>
      <c r="D72" s="6" t="s">
        <v>35</v>
      </c>
      <c r="E72" s="6" t="s">
        <v>11</v>
      </c>
      <c r="F72" s="6">
        <v>1</v>
      </c>
      <c r="G72" s="6">
        <v>624</v>
      </c>
    </row>
    <row r="73" s="2" customFormat="true" ht="22.5" customHeight="true" spans="1:7">
      <c r="A73" s="6">
        <f>71</f>
        <v>71</v>
      </c>
      <c r="B73" s="6" t="s">
        <v>91</v>
      </c>
      <c r="C73" s="6" t="s">
        <v>9</v>
      </c>
      <c r="D73" s="6" t="s">
        <v>27</v>
      </c>
      <c r="E73" s="6" t="s">
        <v>17</v>
      </c>
      <c r="F73" s="6">
        <v>1</v>
      </c>
      <c r="G73" s="6">
        <v>729</v>
      </c>
    </row>
    <row r="74" s="2" customFormat="true" ht="22.5" customHeight="true" spans="1:7">
      <c r="A74" s="6">
        <f>72</f>
        <v>72</v>
      </c>
      <c r="B74" s="6" t="s">
        <v>92</v>
      </c>
      <c r="C74" s="6" t="s">
        <v>15</v>
      </c>
      <c r="D74" s="6" t="s">
        <v>10</v>
      </c>
      <c r="E74" s="6" t="s">
        <v>17</v>
      </c>
      <c r="F74" s="6">
        <v>1</v>
      </c>
      <c r="G74" s="6">
        <v>706</v>
      </c>
    </row>
    <row r="75" s="2" customFormat="true" ht="22.5" customHeight="true" spans="1:7">
      <c r="A75" s="6">
        <f>73</f>
        <v>73</v>
      </c>
      <c r="B75" s="6" t="s">
        <v>93</v>
      </c>
      <c r="C75" s="6" t="s">
        <v>9</v>
      </c>
      <c r="D75" s="6" t="s">
        <v>35</v>
      </c>
      <c r="E75" s="6" t="s">
        <v>17</v>
      </c>
      <c r="F75" s="6">
        <v>1</v>
      </c>
      <c r="G75" s="6">
        <v>698</v>
      </c>
    </row>
    <row r="76" s="2" customFormat="true" ht="22.5" customHeight="true" spans="1:7">
      <c r="A76" s="6">
        <f>74</f>
        <v>74</v>
      </c>
      <c r="B76" s="6" t="s">
        <v>94</v>
      </c>
      <c r="C76" s="6" t="s">
        <v>15</v>
      </c>
      <c r="D76" s="6" t="s">
        <v>19</v>
      </c>
      <c r="E76" s="6" t="s">
        <v>17</v>
      </c>
      <c r="F76" s="6">
        <v>1</v>
      </c>
      <c r="G76" s="6">
        <v>698</v>
      </c>
    </row>
    <row r="77" s="2" customFormat="true" ht="22.5" customHeight="true" spans="1:7">
      <c r="A77" s="6">
        <f>75</f>
        <v>75</v>
      </c>
      <c r="B77" s="6" t="s">
        <v>95</v>
      </c>
      <c r="C77" s="6" t="s">
        <v>15</v>
      </c>
      <c r="D77" s="6" t="s">
        <v>19</v>
      </c>
      <c r="E77" s="6" t="s">
        <v>11</v>
      </c>
      <c r="F77" s="6">
        <v>2</v>
      </c>
      <c r="G77" s="6">
        <v>1078</v>
      </c>
    </row>
    <row r="78" s="2" customFormat="true" ht="22.5" customHeight="true" spans="1:7">
      <c r="A78" s="6">
        <f>76</f>
        <v>76</v>
      </c>
      <c r="B78" s="6" t="s">
        <v>96</v>
      </c>
      <c r="C78" s="6" t="s">
        <v>9</v>
      </c>
      <c r="D78" s="6" t="s">
        <v>35</v>
      </c>
      <c r="E78" s="6" t="s">
        <v>17</v>
      </c>
      <c r="F78" s="6">
        <v>1</v>
      </c>
      <c r="G78" s="6">
        <v>661</v>
      </c>
    </row>
    <row r="79" s="2" customFormat="true" ht="22.5" customHeight="true" spans="1:7">
      <c r="A79" s="6">
        <f>77</f>
        <v>77</v>
      </c>
      <c r="B79" s="6" t="s">
        <v>97</v>
      </c>
      <c r="C79" s="6" t="s">
        <v>15</v>
      </c>
      <c r="D79" s="6" t="s">
        <v>16</v>
      </c>
      <c r="E79" s="6" t="s">
        <v>17</v>
      </c>
      <c r="F79" s="6">
        <v>1</v>
      </c>
      <c r="G79" s="6">
        <v>729</v>
      </c>
    </row>
    <row r="80" s="2" customFormat="true" ht="22.5" customHeight="true" spans="1:7">
      <c r="A80" s="6">
        <f>78</f>
        <v>78</v>
      </c>
      <c r="B80" s="6" t="s">
        <v>98</v>
      </c>
      <c r="C80" s="6" t="s">
        <v>9</v>
      </c>
      <c r="D80" s="6" t="s">
        <v>21</v>
      </c>
      <c r="E80" s="6" t="s">
        <v>17</v>
      </c>
      <c r="F80" s="6">
        <v>1</v>
      </c>
      <c r="G80" s="6">
        <v>690</v>
      </c>
    </row>
    <row r="81" s="2" customFormat="true" ht="22.5" customHeight="true" spans="1:7">
      <c r="A81" s="6">
        <f>79</f>
        <v>79</v>
      </c>
      <c r="B81" s="6" t="s">
        <v>99</v>
      </c>
      <c r="C81" s="6" t="s">
        <v>9</v>
      </c>
      <c r="D81" s="6" t="s">
        <v>19</v>
      </c>
      <c r="E81" s="6" t="s">
        <v>17</v>
      </c>
      <c r="F81" s="6">
        <v>3</v>
      </c>
      <c r="G81" s="6">
        <v>1836</v>
      </c>
    </row>
    <row r="82" s="2" customFormat="true" ht="22.5" customHeight="true" spans="1:7">
      <c r="A82" s="6">
        <f>80</f>
        <v>80</v>
      </c>
      <c r="B82" s="6" t="s">
        <v>100</v>
      </c>
      <c r="C82" s="6" t="s">
        <v>9</v>
      </c>
      <c r="D82" s="6" t="s">
        <v>35</v>
      </c>
      <c r="E82" s="6" t="s">
        <v>17</v>
      </c>
      <c r="F82" s="6">
        <v>4</v>
      </c>
      <c r="G82" s="6">
        <v>2098</v>
      </c>
    </row>
    <row r="83" s="2" customFormat="true" ht="22.5" customHeight="true" spans="1:7">
      <c r="A83" s="6">
        <f>81</f>
        <v>81</v>
      </c>
      <c r="B83" s="6" t="s">
        <v>101</v>
      </c>
      <c r="C83" s="6" t="s">
        <v>9</v>
      </c>
      <c r="D83" s="6" t="s">
        <v>10</v>
      </c>
      <c r="E83" s="6" t="s">
        <v>17</v>
      </c>
      <c r="F83" s="6">
        <v>1</v>
      </c>
      <c r="G83" s="6">
        <v>686</v>
      </c>
    </row>
    <row r="84" s="2" customFormat="true" ht="22.5" customHeight="true" spans="1:7">
      <c r="A84" s="6">
        <f>82</f>
        <v>82</v>
      </c>
      <c r="B84" s="6" t="s">
        <v>102</v>
      </c>
      <c r="C84" s="6" t="s">
        <v>15</v>
      </c>
      <c r="D84" s="6" t="s">
        <v>19</v>
      </c>
      <c r="E84" s="6" t="s">
        <v>17</v>
      </c>
      <c r="F84" s="6">
        <v>1</v>
      </c>
      <c r="G84" s="6">
        <v>632</v>
      </c>
    </row>
    <row r="85" s="2" customFormat="true" ht="22.5" customHeight="true" spans="1:7">
      <c r="A85" s="6">
        <f>83</f>
        <v>83</v>
      </c>
      <c r="B85" s="6" t="s">
        <v>103</v>
      </c>
      <c r="C85" s="6" t="s">
        <v>9</v>
      </c>
      <c r="D85" s="6" t="s">
        <v>104</v>
      </c>
      <c r="E85" s="6" t="s">
        <v>17</v>
      </c>
      <c r="F85" s="6">
        <v>2</v>
      </c>
      <c r="G85" s="6">
        <v>1284</v>
      </c>
    </row>
    <row r="86" s="2" customFormat="true" ht="22.5" customHeight="true" spans="1:7">
      <c r="A86" s="6">
        <f>84</f>
        <v>84</v>
      </c>
      <c r="B86" s="6" t="s">
        <v>105</v>
      </c>
      <c r="C86" s="6" t="s">
        <v>15</v>
      </c>
      <c r="D86" s="6" t="s">
        <v>35</v>
      </c>
      <c r="E86" s="6" t="s">
        <v>17</v>
      </c>
      <c r="F86" s="6">
        <v>1</v>
      </c>
      <c r="G86" s="6">
        <v>624</v>
      </c>
    </row>
    <row r="87" s="2" customFormat="true" ht="22.5" customHeight="true" spans="1:7">
      <c r="A87" s="6">
        <f>85</f>
        <v>85</v>
      </c>
      <c r="B87" s="6" t="s">
        <v>106</v>
      </c>
      <c r="C87" s="6" t="s">
        <v>9</v>
      </c>
      <c r="D87" s="6" t="s">
        <v>19</v>
      </c>
      <c r="E87" s="6" t="s">
        <v>17</v>
      </c>
      <c r="F87" s="6">
        <v>1</v>
      </c>
      <c r="G87" s="6">
        <v>642</v>
      </c>
    </row>
    <row r="88" s="2" customFormat="true" ht="22.5" customHeight="true" spans="1:7">
      <c r="A88" s="6">
        <f>86</f>
        <v>86</v>
      </c>
      <c r="B88" s="6" t="s">
        <v>107</v>
      </c>
      <c r="C88" s="6" t="s">
        <v>9</v>
      </c>
      <c r="D88" s="6" t="s">
        <v>10</v>
      </c>
      <c r="E88" s="6" t="s">
        <v>17</v>
      </c>
      <c r="F88" s="6">
        <v>3</v>
      </c>
      <c r="G88" s="6">
        <v>1856</v>
      </c>
    </row>
    <row r="89" s="2" customFormat="true" ht="22.5" customHeight="true" spans="1:7">
      <c r="A89" s="6">
        <f>87</f>
        <v>87</v>
      </c>
      <c r="B89" s="6" t="s">
        <v>108</v>
      </c>
      <c r="C89" s="6" t="s">
        <v>9</v>
      </c>
      <c r="D89" s="6" t="s">
        <v>27</v>
      </c>
      <c r="E89" s="6" t="s">
        <v>17</v>
      </c>
      <c r="F89" s="6">
        <v>1</v>
      </c>
      <c r="G89" s="6">
        <v>729</v>
      </c>
    </row>
    <row r="90" s="2" customFormat="true" ht="22.5" customHeight="true" spans="1:7">
      <c r="A90" s="6">
        <f>88</f>
        <v>88</v>
      </c>
      <c r="B90" s="6" t="s">
        <v>109</v>
      </c>
      <c r="C90" s="6" t="s">
        <v>9</v>
      </c>
      <c r="D90" s="6" t="s">
        <v>19</v>
      </c>
      <c r="E90" s="6" t="s">
        <v>17</v>
      </c>
      <c r="F90" s="6">
        <v>1</v>
      </c>
      <c r="G90" s="6">
        <v>624</v>
      </c>
    </row>
    <row r="91" s="2" customFormat="true" ht="22.5" customHeight="true" spans="1:7">
      <c r="A91" s="6">
        <f>89</f>
        <v>89</v>
      </c>
      <c r="B91" s="6" t="s">
        <v>110</v>
      </c>
      <c r="C91" s="6" t="s">
        <v>15</v>
      </c>
      <c r="D91" s="6" t="s">
        <v>27</v>
      </c>
      <c r="E91" s="6" t="s">
        <v>17</v>
      </c>
      <c r="F91" s="6">
        <v>1</v>
      </c>
      <c r="G91" s="6">
        <v>729</v>
      </c>
    </row>
    <row r="92" s="2" customFormat="true" ht="22.5" customHeight="true" spans="1:7">
      <c r="A92" s="6">
        <f>90</f>
        <v>90</v>
      </c>
      <c r="B92" s="6" t="s">
        <v>111</v>
      </c>
      <c r="C92" s="6" t="s">
        <v>15</v>
      </c>
      <c r="D92" s="6" t="s">
        <v>27</v>
      </c>
      <c r="E92" s="6" t="s">
        <v>17</v>
      </c>
      <c r="F92" s="6">
        <v>1</v>
      </c>
      <c r="G92" s="6">
        <v>726</v>
      </c>
    </row>
    <row r="93" s="2" customFormat="true" ht="22.5" customHeight="true" spans="1:7">
      <c r="A93" s="6">
        <f>91</f>
        <v>91</v>
      </c>
      <c r="B93" s="6" t="s">
        <v>112</v>
      </c>
      <c r="C93" s="6" t="s">
        <v>9</v>
      </c>
      <c r="D93" s="6" t="s">
        <v>35</v>
      </c>
      <c r="E93" s="6" t="s">
        <v>17</v>
      </c>
      <c r="F93" s="6">
        <v>1</v>
      </c>
      <c r="G93" s="6">
        <v>748</v>
      </c>
    </row>
    <row r="94" s="2" customFormat="true" ht="22.5" customHeight="true" spans="1:7">
      <c r="A94" s="6">
        <f>92</f>
        <v>92</v>
      </c>
      <c r="B94" s="6" t="s">
        <v>113</v>
      </c>
      <c r="C94" s="6" t="s">
        <v>9</v>
      </c>
      <c r="D94" s="6" t="s">
        <v>19</v>
      </c>
      <c r="E94" s="6" t="s">
        <v>17</v>
      </c>
      <c r="F94" s="6">
        <v>1</v>
      </c>
      <c r="G94" s="6">
        <v>637</v>
      </c>
    </row>
    <row r="95" s="2" customFormat="true" ht="22.5" customHeight="true" spans="1:7">
      <c r="A95" s="6">
        <f>93</f>
        <v>93</v>
      </c>
      <c r="B95" s="6" t="s">
        <v>114</v>
      </c>
      <c r="C95" s="6" t="s">
        <v>9</v>
      </c>
      <c r="D95" s="6" t="s">
        <v>27</v>
      </c>
      <c r="E95" s="6" t="s">
        <v>79</v>
      </c>
      <c r="F95" s="6">
        <v>4</v>
      </c>
      <c r="G95" s="6">
        <v>1616</v>
      </c>
    </row>
    <row r="96" s="2" customFormat="true" ht="22.5" customHeight="true" spans="1:7">
      <c r="A96" s="6">
        <f>94</f>
        <v>94</v>
      </c>
      <c r="B96" s="6" t="s">
        <v>115</v>
      </c>
      <c r="C96" s="6" t="s">
        <v>9</v>
      </c>
      <c r="D96" s="6" t="s">
        <v>27</v>
      </c>
      <c r="E96" s="6" t="s">
        <v>17</v>
      </c>
      <c r="F96" s="6">
        <v>1</v>
      </c>
      <c r="G96" s="6">
        <v>678</v>
      </c>
    </row>
    <row r="97" s="2" customFormat="true" ht="22.5" customHeight="true" spans="1:7">
      <c r="A97" s="6">
        <f>95</f>
        <v>95</v>
      </c>
      <c r="B97" s="6" t="s">
        <v>116</v>
      </c>
      <c r="C97" s="6" t="s">
        <v>15</v>
      </c>
      <c r="D97" s="6" t="s">
        <v>117</v>
      </c>
      <c r="E97" s="6" t="s">
        <v>17</v>
      </c>
      <c r="F97" s="6">
        <v>1</v>
      </c>
      <c r="G97" s="6">
        <v>664</v>
      </c>
    </row>
    <row r="98" s="2" customFormat="true" ht="22.5" customHeight="true" spans="1:7">
      <c r="A98" s="6">
        <f>96</f>
        <v>96</v>
      </c>
      <c r="B98" s="6" t="s">
        <v>118</v>
      </c>
      <c r="C98" s="6" t="s">
        <v>15</v>
      </c>
      <c r="D98" s="6" t="s">
        <v>10</v>
      </c>
      <c r="E98" s="6" t="s">
        <v>17</v>
      </c>
      <c r="F98" s="6">
        <v>1</v>
      </c>
      <c r="G98" s="6">
        <v>624</v>
      </c>
    </row>
    <row r="99" s="2" customFormat="true" ht="22.5" customHeight="true" spans="1:7">
      <c r="A99" s="6">
        <f>97</f>
        <v>97</v>
      </c>
      <c r="B99" s="6" t="s">
        <v>119</v>
      </c>
      <c r="C99" s="6" t="s">
        <v>9</v>
      </c>
      <c r="D99" s="6" t="s">
        <v>19</v>
      </c>
      <c r="E99" s="6" t="s">
        <v>17</v>
      </c>
      <c r="F99" s="6">
        <v>2</v>
      </c>
      <c r="G99" s="6">
        <v>1297</v>
      </c>
    </row>
    <row r="100" s="2" customFormat="true" ht="22.5" customHeight="true" spans="1:7">
      <c r="A100" s="6">
        <f>98</f>
        <v>98</v>
      </c>
      <c r="B100" s="6" t="s">
        <v>120</v>
      </c>
      <c r="C100" s="6" t="s">
        <v>9</v>
      </c>
      <c r="D100" s="6" t="s">
        <v>104</v>
      </c>
      <c r="E100" s="6" t="s">
        <v>17</v>
      </c>
      <c r="F100" s="6">
        <v>3</v>
      </c>
      <c r="G100" s="6">
        <v>1994</v>
      </c>
    </row>
    <row r="101" s="2" customFormat="true" ht="22.5" customHeight="true" spans="1:7">
      <c r="A101" s="6">
        <f>99</f>
        <v>99</v>
      </c>
      <c r="B101" s="6" t="s">
        <v>121</v>
      </c>
      <c r="C101" s="6" t="s">
        <v>15</v>
      </c>
      <c r="D101" s="6" t="s">
        <v>122</v>
      </c>
      <c r="E101" s="6" t="s">
        <v>17</v>
      </c>
      <c r="F101" s="6">
        <v>1</v>
      </c>
      <c r="G101" s="6">
        <v>677</v>
      </c>
    </row>
    <row r="102" s="2" customFormat="true" ht="22.5" customHeight="true" spans="1:7">
      <c r="A102" s="6">
        <f>100</f>
        <v>100</v>
      </c>
      <c r="B102" s="6" t="s">
        <v>123</v>
      </c>
      <c r="C102" s="6" t="s">
        <v>9</v>
      </c>
      <c r="D102" s="6" t="s">
        <v>124</v>
      </c>
      <c r="E102" s="6" t="s">
        <v>17</v>
      </c>
      <c r="F102" s="6">
        <v>1</v>
      </c>
      <c r="G102" s="6">
        <v>645</v>
      </c>
    </row>
    <row r="103" s="2" customFormat="true" ht="22.5" customHeight="true" spans="1:7">
      <c r="A103" s="6">
        <f>101</f>
        <v>101</v>
      </c>
      <c r="B103" s="6" t="s">
        <v>125</v>
      </c>
      <c r="C103" s="6" t="s">
        <v>15</v>
      </c>
      <c r="D103" s="6" t="s">
        <v>19</v>
      </c>
      <c r="E103" s="6" t="s">
        <v>11</v>
      </c>
      <c r="F103" s="6">
        <v>2</v>
      </c>
      <c r="G103" s="6">
        <v>1087</v>
      </c>
    </row>
    <row r="104" s="2" customFormat="true" ht="22.5" customHeight="true" spans="1:7">
      <c r="A104" s="6">
        <f>102</f>
        <v>102</v>
      </c>
      <c r="B104" s="6" t="s">
        <v>126</v>
      </c>
      <c r="C104" s="6" t="s">
        <v>15</v>
      </c>
      <c r="D104" s="6" t="s">
        <v>16</v>
      </c>
      <c r="E104" s="6" t="s">
        <v>17</v>
      </c>
      <c r="F104" s="6">
        <v>2</v>
      </c>
      <c r="G104" s="6">
        <v>1188</v>
      </c>
    </row>
    <row r="105" s="2" customFormat="true" ht="22.5" customHeight="true" spans="1:7">
      <c r="A105" s="6">
        <f>103</f>
        <v>103</v>
      </c>
      <c r="B105" s="6" t="s">
        <v>127</v>
      </c>
      <c r="C105" s="6" t="s">
        <v>9</v>
      </c>
      <c r="D105" s="6" t="s">
        <v>19</v>
      </c>
      <c r="E105" s="6" t="s">
        <v>11</v>
      </c>
      <c r="F105" s="6">
        <v>3</v>
      </c>
      <c r="G105" s="6">
        <v>1534</v>
      </c>
    </row>
    <row r="106" s="2" customFormat="true" ht="22.5" customHeight="true" spans="1:7">
      <c r="A106" s="6">
        <f>104</f>
        <v>104</v>
      </c>
      <c r="B106" s="6" t="s">
        <v>128</v>
      </c>
      <c r="C106" s="6" t="s">
        <v>15</v>
      </c>
      <c r="D106" s="6" t="s">
        <v>129</v>
      </c>
      <c r="E106" s="6" t="s">
        <v>17</v>
      </c>
      <c r="F106" s="6">
        <v>2</v>
      </c>
      <c r="G106" s="6">
        <v>1185</v>
      </c>
    </row>
    <row r="107" s="2" customFormat="true" ht="22.5" customHeight="true" spans="1:7">
      <c r="A107" s="6">
        <f>105</f>
        <v>105</v>
      </c>
      <c r="B107" s="6" t="s">
        <v>130</v>
      </c>
      <c r="C107" s="6" t="s">
        <v>9</v>
      </c>
      <c r="D107" s="6" t="s">
        <v>131</v>
      </c>
      <c r="E107" s="6" t="s">
        <v>17</v>
      </c>
      <c r="F107" s="6">
        <v>3</v>
      </c>
      <c r="G107" s="6">
        <v>1523</v>
      </c>
    </row>
    <row r="108" s="2" customFormat="true" ht="22.5" customHeight="true" spans="1:7">
      <c r="A108" s="6">
        <f>106</f>
        <v>106</v>
      </c>
      <c r="B108" s="6" t="s">
        <v>132</v>
      </c>
      <c r="C108" s="6" t="s">
        <v>15</v>
      </c>
      <c r="D108" s="6" t="s">
        <v>133</v>
      </c>
      <c r="E108" s="6" t="s">
        <v>11</v>
      </c>
      <c r="F108" s="6">
        <v>2</v>
      </c>
      <c r="G108" s="6">
        <v>976</v>
      </c>
    </row>
    <row r="109" s="2" customFormat="true" ht="22.5" customHeight="true" spans="1:7">
      <c r="A109" s="6">
        <f>107</f>
        <v>107</v>
      </c>
      <c r="B109" s="6" t="s">
        <v>134</v>
      </c>
      <c r="C109" s="6" t="s">
        <v>9</v>
      </c>
      <c r="D109" s="6" t="s">
        <v>19</v>
      </c>
      <c r="E109" s="6" t="s">
        <v>17</v>
      </c>
      <c r="F109" s="6">
        <v>5</v>
      </c>
      <c r="G109" s="6">
        <v>2445</v>
      </c>
    </row>
    <row r="110" s="2" customFormat="true" ht="22.5" customHeight="true" spans="1:7">
      <c r="A110" s="6">
        <f>108</f>
        <v>108</v>
      </c>
      <c r="B110" s="6" t="s">
        <v>135</v>
      </c>
      <c r="C110" s="6" t="s">
        <v>15</v>
      </c>
      <c r="D110" s="6" t="s">
        <v>136</v>
      </c>
      <c r="E110" s="6" t="s">
        <v>11</v>
      </c>
      <c r="F110" s="6">
        <v>1</v>
      </c>
      <c r="G110" s="6">
        <v>560</v>
      </c>
    </row>
    <row r="111" s="2" customFormat="true" ht="22.5" customHeight="true" spans="1:7">
      <c r="A111" s="6">
        <f>109</f>
        <v>109</v>
      </c>
      <c r="B111" s="6" t="s">
        <v>137</v>
      </c>
      <c r="C111" s="6" t="s">
        <v>15</v>
      </c>
      <c r="D111" s="6" t="s">
        <v>138</v>
      </c>
      <c r="E111" s="6" t="s">
        <v>11</v>
      </c>
      <c r="F111" s="6">
        <v>3</v>
      </c>
      <c r="G111" s="6">
        <v>1498</v>
      </c>
    </row>
    <row r="112" s="2" customFormat="true" ht="22.5" customHeight="true" spans="1:7">
      <c r="A112" s="6">
        <f>110</f>
        <v>110</v>
      </c>
      <c r="B112" s="6" t="s">
        <v>139</v>
      </c>
      <c r="C112" s="6" t="s">
        <v>15</v>
      </c>
      <c r="D112" s="6" t="s">
        <v>104</v>
      </c>
      <c r="E112" s="6" t="s">
        <v>79</v>
      </c>
      <c r="F112" s="6">
        <v>1</v>
      </c>
      <c r="G112" s="6">
        <v>473</v>
      </c>
    </row>
    <row r="113" s="2" customFormat="true" ht="22.5" customHeight="true" spans="1:7">
      <c r="A113" s="6">
        <f>111</f>
        <v>111</v>
      </c>
      <c r="B113" s="6" t="s">
        <v>140</v>
      </c>
      <c r="C113" s="6" t="s">
        <v>9</v>
      </c>
      <c r="D113" s="6" t="s">
        <v>138</v>
      </c>
      <c r="E113" s="6" t="s">
        <v>11</v>
      </c>
      <c r="F113" s="6">
        <v>3</v>
      </c>
      <c r="G113" s="6">
        <v>1760</v>
      </c>
    </row>
    <row r="114" s="2" customFormat="true" ht="22.5" customHeight="true" spans="1:7">
      <c r="A114" s="6">
        <f>112</f>
        <v>112</v>
      </c>
      <c r="B114" s="6" t="s">
        <v>141</v>
      </c>
      <c r="C114" s="6" t="s">
        <v>9</v>
      </c>
      <c r="D114" s="6" t="s">
        <v>10</v>
      </c>
      <c r="E114" s="6" t="s">
        <v>79</v>
      </c>
      <c r="F114" s="6">
        <v>1</v>
      </c>
      <c r="G114" s="6">
        <v>481</v>
      </c>
    </row>
    <row r="115" s="2" customFormat="true" ht="22.5" customHeight="true" spans="1:7">
      <c r="A115" s="6">
        <f>113</f>
        <v>113</v>
      </c>
      <c r="B115" s="6" t="s">
        <v>142</v>
      </c>
      <c r="C115" s="6" t="s">
        <v>9</v>
      </c>
      <c r="D115" s="6" t="s">
        <v>143</v>
      </c>
      <c r="E115" s="6" t="s">
        <v>17</v>
      </c>
      <c r="F115" s="6">
        <v>4</v>
      </c>
      <c r="G115" s="6">
        <v>1764</v>
      </c>
    </row>
    <row r="116" s="2" customFormat="true" ht="22.5" customHeight="true" spans="1:7">
      <c r="A116" s="6">
        <f>114</f>
        <v>114</v>
      </c>
      <c r="B116" s="6" t="s">
        <v>144</v>
      </c>
      <c r="C116" s="6" t="s">
        <v>15</v>
      </c>
      <c r="D116" s="6" t="s">
        <v>104</v>
      </c>
      <c r="E116" s="6" t="s">
        <v>17</v>
      </c>
      <c r="F116" s="6">
        <v>1</v>
      </c>
      <c r="G116" s="6">
        <v>436</v>
      </c>
    </row>
    <row r="117" s="2" customFormat="true" ht="22.5" customHeight="true" spans="1:7">
      <c r="A117" s="6">
        <f>115</f>
        <v>115</v>
      </c>
      <c r="B117" s="6" t="s">
        <v>145</v>
      </c>
      <c r="C117" s="6" t="s">
        <v>9</v>
      </c>
      <c r="D117" s="6" t="s">
        <v>146</v>
      </c>
      <c r="E117" s="6" t="s">
        <v>17</v>
      </c>
      <c r="F117" s="6">
        <v>5</v>
      </c>
      <c r="G117" s="6">
        <v>2879</v>
      </c>
    </row>
    <row r="118" s="2" customFormat="true" ht="22.5" customHeight="true" spans="1:7">
      <c r="A118" s="6">
        <f>116</f>
        <v>116</v>
      </c>
      <c r="B118" s="6" t="s">
        <v>147</v>
      </c>
      <c r="C118" s="6" t="s">
        <v>15</v>
      </c>
      <c r="D118" s="6" t="s">
        <v>131</v>
      </c>
      <c r="E118" s="6" t="s">
        <v>17</v>
      </c>
      <c r="F118" s="6">
        <v>2</v>
      </c>
      <c r="G118" s="6">
        <v>1251</v>
      </c>
    </row>
    <row r="119" s="2" customFormat="true" ht="22.5" customHeight="true" spans="1:7">
      <c r="A119" s="6">
        <f>117</f>
        <v>117</v>
      </c>
      <c r="B119" s="6" t="s">
        <v>148</v>
      </c>
      <c r="C119" s="6" t="s">
        <v>15</v>
      </c>
      <c r="D119" s="6" t="s">
        <v>149</v>
      </c>
      <c r="E119" s="6" t="s">
        <v>11</v>
      </c>
      <c r="F119" s="6">
        <v>4</v>
      </c>
      <c r="G119" s="6">
        <v>2226</v>
      </c>
    </row>
    <row r="120" s="2" customFormat="true" ht="22.5" customHeight="true" spans="1:7">
      <c r="A120" s="6">
        <f>118</f>
        <v>118</v>
      </c>
      <c r="B120" s="6" t="s">
        <v>150</v>
      </c>
      <c r="C120" s="6" t="s">
        <v>9</v>
      </c>
      <c r="D120" s="6" t="s">
        <v>131</v>
      </c>
      <c r="E120" s="6" t="s">
        <v>17</v>
      </c>
      <c r="F120" s="6">
        <v>3</v>
      </c>
      <c r="G120" s="6">
        <v>1595</v>
      </c>
    </row>
    <row r="121" s="2" customFormat="true" ht="22.5" customHeight="true" spans="1:7">
      <c r="A121" s="6">
        <f>119</f>
        <v>119</v>
      </c>
      <c r="B121" s="6" t="s">
        <v>151</v>
      </c>
      <c r="C121" s="6" t="s">
        <v>9</v>
      </c>
      <c r="D121" s="6" t="s">
        <v>143</v>
      </c>
      <c r="E121" s="6" t="s">
        <v>11</v>
      </c>
      <c r="F121" s="6">
        <v>1</v>
      </c>
      <c r="G121" s="6">
        <v>629</v>
      </c>
    </row>
    <row r="122" s="2" customFormat="true" ht="22.5" customHeight="true" spans="1:7">
      <c r="A122" s="6">
        <f>120</f>
        <v>120</v>
      </c>
      <c r="B122" s="6" t="s">
        <v>152</v>
      </c>
      <c r="C122" s="6" t="s">
        <v>15</v>
      </c>
      <c r="D122" s="6" t="s">
        <v>133</v>
      </c>
      <c r="E122" s="6" t="s">
        <v>17</v>
      </c>
      <c r="F122" s="6">
        <v>2</v>
      </c>
      <c r="G122" s="6">
        <v>921</v>
      </c>
    </row>
    <row r="123" s="2" customFormat="true" ht="22.5" customHeight="true" spans="1:7">
      <c r="A123" s="6">
        <f>121</f>
        <v>121</v>
      </c>
      <c r="B123" s="6" t="s">
        <v>153</v>
      </c>
      <c r="C123" s="6" t="s">
        <v>9</v>
      </c>
      <c r="D123" s="6" t="s">
        <v>133</v>
      </c>
      <c r="E123" s="6" t="s">
        <v>11</v>
      </c>
      <c r="F123" s="6">
        <v>1</v>
      </c>
      <c r="G123" s="6">
        <v>629</v>
      </c>
    </row>
    <row r="124" s="2" customFormat="true" ht="22.5" customHeight="true" spans="1:7">
      <c r="A124" s="6">
        <f>122</f>
        <v>122</v>
      </c>
      <c r="B124" s="6" t="s">
        <v>154</v>
      </c>
      <c r="C124" s="6" t="s">
        <v>9</v>
      </c>
      <c r="D124" s="6" t="s">
        <v>122</v>
      </c>
      <c r="E124" s="6" t="s">
        <v>17</v>
      </c>
      <c r="F124" s="6">
        <v>3</v>
      </c>
      <c r="G124" s="6">
        <v>1629</v>
      </c>
    </row>
    <row r="125" s="2" customFormat="true" ht="22.5" customHeight="true" spans="1:7">
      <c r="A125" s="6">
        <f>123</f>
        <v>123</v>
      </c>
      <c r="B125" s="6" t="s">
        <v>155</v>
      </c>
      <c r="C125" s="6" t="s">
        <v>9</v>
      </c>
      <c r="D125" s="6" t="s">
        <v>136</v>
      </c>
      <c r="E125" s="6" t="s">
        <v>11</v>
      </c>
      <c r="F125" s="6">
        <v>1</v>
      </c>
      <c r="G125" s="6">
        <v>640</v>
      </c>
    </row>
    <row r="126" s="2" customFormat="true" ht="22.5" customHeight="true" spans="1:7">
      <c r="A126" s="6">
        <f>124</f>
        <v>124</v>
      </c>
      <c r="B126" s="6" t="s">
        <v>156</v>
      </c>
      <c r="C126" s="6" t="s">
        <v>15</v>
      </c>
      <c r="D126" s="6" t="s">
        <v>49</v>
      </c>
      <c r="E126" s="6" t="s">
        <v>11</v>
      </c>
      <c r="F126" s="6">
        <v>3</v>
      </c>
      <c r="G126" s="6">
        <v>1545</v>
      </c>
    </row>
    <row r="127" s="2" customFormat="true" ht="22.5" customHeight="true" spans="1:7">
      <c r="A127" s="6">
        <f>125</f>
        <v>125</v>
      </c>
      <c r="B127" s="6" t="s">
        <v>157</v>
      </c>
      <c r="C127" s="6" t="s">
        <v>15</v>
      </c>
      <c r="D127" s="6" t="s">
        <v>27</v>
      </c>
      <c r="E127" s="6" t="s">
        <v>17</v>
      </c>
      <c r="F127" s="6">
        <v>1</v>
      </c>
      <c r="G127" s="6">
        <v>606</v>
      </c>
    </row>
    <row r="128" s="2" customFormat="true" ht="22.5" customHeight="true" spans="1:7">
      <c r="A128" s="6">
        <f>126</f>
        <v>126</v>
      </c>
      <c r="B128" s="6" t="s">
        <v>158</v>
      </c>
      <c r="C128" s="6" t="s">
        <v>9</v>
      </c>
      <c r="D128" s="6" t="s">
        <v>159</v>
      </c>
      <c r="E128" s="6" t="s">
        <v>17</v>
      </c>
      <c r="F128" s="6">
        <v>3</v>
      </c>
      <c r="G128" s="6">
        <v>1656</v>
      </c>
    </row>
    <row r="129" s="2" customFormat="true" ht="22.5" customHeight="true" spans="1:7">
      <c r="A129" s="6">
        <f>127</f>
        <v>127</v>
      </c>
      <c r="B129" s="6" t="s">
        <v>160</v>
      </c>
      <c r="C129" s="6" t="s">
        <v>15</v>
      </c>
      <c r="D129" s="6" t="s">
        <v>161</v>
      </c>
      <c r="E129" s="6" t="s">
        <v>11</v>
      </c>
      <c r="F129" s="6">
        <v>1</v>
      </c>
      <c r="G129" s="6">
        <v>604</v>
      </c>
    </row>
    <row r="130" s="2" customFormat="true" ht="22.5" customHeight="true" spans="1:7">
      <c r="A130" s="6">
        <f>128</f>
        <v>128</v>
      </c>
      <c r="B130" s="6" t="s">
        <v>162</v>
      </c>
      <c r="C130" s="6" t="s">
        <v>15</v>
      </c>
      <c r="D130" s="6" t="s">
        <v>133</v>
      </c>
      <c r="E130" s="6" t="s">
        <v>17</v>
      </c>
      <c r="F130" s="6">
        <v>3</v>
      </c>
      <c r="G130" s="6">
        <v>1691</v>
      </c>
    </row>
    <row r="131" s="2" customFormat="true" ht="22.5" customHeight="true" spans="1:7">
      <c r="A131" s="6">
        <f>129</f>
        <v>129</v>
      </c>
      <c r="B131" s="6" t="s">
        <v>163</v>
      </c>
      <c r="C131" s="6" t="s">
        <v>15</v>
      </c>
      <c r="D131" s="6" t="s">
        <v>164</v>
      </c>
      <c r="E131" s="6" t="s">
        <v>17</v>
      </c>
      <c r="F131" s="6">
        <v>4</v>
      </c>
      <c r="G131" s="6">
        <v>2437</v>
      </c>
    </row>
    <row r="132" s="2" customFormat="true" ht="22.5" customHeight="true" spans="1:7">
      <c r="A132" s="6">
        <f>130</f>
        <v>130</v>
      </c>
      <c r="B132" s="6" t="s">
        <v>165</v>
      </c>
      <c r="C132" s="6" t="s">
        <v>15</v>
      </c>
      <c r="D132" s="6" t="s">
        <v>104</v>
      </c>
      <c r="E132" s="6" t="s">
        <v>11</v>
      </c>
      <c r="F132" s="6">
        <v>2</v>
      </c>
      <c r="G132" s="6">
        <v>1188</v>
      </c>
    </row>
    <row r="133" s="2" customFormat="true" ht="22.5" customHeight="true" spans="1:7">
      <c r="A133" s="6">
        <f>131</f>
        <v>131</v>
      </c>
      <c r="B133" s="6" t="s">
        <v>166</v>
      </c>
      <c r="C133" s="6" t="s">
        <v>9</v>
      </c>
      <c r="D133" s="6" t="s">
        <v>167</v>
      </c>
      <c r="E133" s="6" t="s">
        <v>11</v>
      </c>
      <c r="F133" s="6">
        <v>4</v>
      </c>
      <c r="G133" s="6">
        <v>2407</v>
      </c>
    </row>
    <row r="134" s="2" customFormat="true" ht="22.5" customHeight="true" spans="1:7">
      <c r="A134" s="6">
        <f>132</f>
        <v>132</v>
      </c>
      <c r="B134" s="6" t="s">
        <v>168</v>
      </c>
      <c r="C134" s="6" t="s">
        <v>9</v>
      </c>
      <c r="D134" s="6" t="s">
        <v>169</v>
      </c>
      <c r="E134" s="6" t="s">
        <v>17</v>
      </c>
      <c r="F134" s="6">
        <v>2</v>
      </c>
      <c r="G134" s="6">
        <v>1280</v>
      </c>
    </row>
    <row r="135" s="2" customFormat="true" ht="22.5" customHeight="true" spans="1:7">
      <c r="A135" s="6">
        <f>133</f>
        <v>133</v>
      </c>
      <c r="B135" s="6" t="s">
        <v>170</v>
      </c>
      <c r="C135" s="6" t="s">
        <v>9</v>
      </c>
      <c r="D135" s="6" t="s">
        <v>49</v>
      </c>
      <c r="E135" s="6" t="s">
        <v>17</v>
      </c>
      <c r="F135" s="6">
        <v>5</v>
      </c>
      <c r="G135" s="6">
        <v>2784</v>
      </c>
    </row>
    <row r="136" s="2" customFormat="true" ht="22.5" customHeight="true" spans="1:7">
      <c r="A136" s="6">
        <f>134</f>
        <v>134</v>
      </c>
      <c r="B136" s="6" t="s">
        <v>171</v>
      </c>
      <c r="C136" s="6" t="s">
        <v>9</v>
      </c>
      <c r="D136" s="6" t="s">
        <v>169</v>
      </c>
      <c r="E136" s="6" t="s">
        <v>17</v>
      </c>
      <c r="F136" s="6">
        <v>5</v>
      </c>
      <c r="G136" s="6">
        <v>2828</v>
      </c>
    </row>
    <row r="137" s="2" customFormat="true" ht="22.5" customHeight="true" spans="1:7">
      <c r="A137" s="6">
        <f>135</f>
        <v>135</v>
      </c>
      <c r="B137" s="6" t="s">
        <v>172</v>
      </c>
      <c r="C137" s="6" t="s">
        <v>9</v>
      </c>
      <c r="D137" s="6" t="s">
        <v>16</v>
      </c>
      <c r="E137" s="6" t="s">
        <v>11</v>
      </c>
      <c r="F137" s="6">
        <v>3</v>
      </c>
      <c r="G137" s="6">
        <v>1878</v>
      </c>
    </row>
    <row r="138" s="2" customFormat="true" ht="22.5" customHeight="true" spans="1:7">
      <c r="A138" s="6">
        <f>136</f>
        <v>136</v>
      </c>
      <c r="B138" s="6" t="s">
        <v>173</v>
      </c>
      <c r="C138" s="6" t="s">
        <v>9</v>
      </c>
      <c r="D138" s="6" t="s">
        <v>133</v>
      </c>
      <c r="E138" s="6" t="s">
        <v>17</v>
      </c>
      <c r="F138" s="6">
        <v>4</v>
      </c>
      <c r="G138" s="6">
        <v>2453</v>
      </c>
    </row>
    <row r="139" s="2" customFormat="true" ht="22.5" customHeight="true" spans="1:7">
      <c r="A139" s="6">
        <f>137</f>
        <v>137</v>
      </c>
      <c r="B139" s="6" t="s">
        <v>174</v>
      </c>
      <c r="C139" s="6" t="s">
        <v>9</v>
      </c>
      <c r="D139" s="6" t="s">
        <v>117</v>
      </c>
      <c r="E139" s="6" t="s">
        <v>17</v>
      </c>
      <c r="F139" s="6">
        <v>5</v>
      </c>
      <c r="G139" s="6">
        <v>2684</v>
      </c>
    </row>
    <row r="140" s="2" customFormat="true" ht="22.5" customHeight="true" spans="1:7">
      <c r="A140" s="6">
        <f>138</f>
        <v>138</v>
      </c>
      <c r="B140" s="6" t="s">
        <v>175</v>
      </c>
      <c r="C140" s="6" t="s">
        <v>9</v>
      </c>
      <c r="D140" s="6" t="s">
        <v>146</v>
      </c>
      <c r="E140" s="6" t="s">
        <v>17</v>
      </c>
      <c r="F140" s="6">
        <v>4</v>
      </c>
      <c r="G140" s="6">
        <v>2197</v>
      </c>
    </row>
    <row r="141" s="2" customFormat="true" ht="22.5" customHeight="true" spans="1:7">
      <c r="A141" s="6">
        <f>139</f>
        <v>139</v>
      </c>
      <c r="B141" s="6" t="s">
        <v>176</v>
      </c>
      <c r="C141" s="6" t="s">
        <v>9</v>
      </c>
      <c r="D141" s="6" t="s">
        <v>167</v>
      </c>
      <c r="E141" s="6" t="s">
        <v>11</v>
      </c>
      <c r="F141" s="6">
        <v>4</v>
      </c>
      <c r="G141" s="6">
        <v>2880</v>
      </c>
    </row>
    <row r="142" s="2" customFormat="true" ht="22.5" customHeight="true" spans="1:7">
      <c r="A142" s="6">
        <f>140</f>
        <v>140</v>
      </c>
      <c r="B142" s="6" t="s">
        <v>177</v>
      </c>
      <c r="C142" s="6" t="s">
        <v>9</v>
      </c>
      <c r="D142" s="6" t="s">
        <v>122</v>
      </c>
      <c r="E142" s="6" t="s">
        <v>17</v>
      </c>
      <c r="F142" s="6">
        <v>4</v>
      </c>
      <c r="G142" s="6">
        <v>2222</v>
      </c>
    </row>
    <row r="143" s="2" customFormat="true" ht="22.5" customHeight="true" spans="1:7">
      <c r="A143" s="6">
        <f>141</f>
        <v>141</v>
      </c>
      <c r="B143" s="6" t="s">
        <v>178</v>
      </c>
      <c r="C143" s="6" t="s">
        <v>9</v>
      </c>
      <c r="D143" s="6" t="s">
        <v>169</v>
      </c>
      <c r="E143" s="6" t="s">
        <v>17</v>
      </c>
      <c r="F143" s="6">
        <v>3</v>
      </c>
      <c r="G143" s="6">
        <v>1994</v>
      </c>
    </row>
    <row r="144" s="2" customFormat="true" ht="22.5" customHeight="true" spans="1:7">
      <c r="A144" s="6">
        <f>142</f>
        <v>142</v>
      </c>
      <c r="B144" s="6" t="s">
        <v>179</v>
      </c>
      <c r="C144" s="6" t="s">
        <v>15</v>
      </c>
      <c r="D144" s="6" t="s">
        <v>180</v>
      </c>
      <c r="E144" s="6" t="s">
        <v>17</v>
      </c>
      <c r="F144" s="6">
        <v>1</v>
      </c>
      <c r="G144" s="6">
        <v>637</v>
      </c>
    </row>
    <row r="145" s="2" customFormat="true" ht="22.5" customHeight="true" spans="1:7">
      <c r="A145" s="6">
        <f>143</f>
        <v>143</v>
      </c>
      <c r="B145" s="6" t="s">
        <v>181</v>
      </c>
      <c r="C145" s="6" t="s">
        <v>9</v>
      </c>
      <c r="D145" s="6" t="s">
        <v>182</v>
      </c>
      <c r="E145" s="6" t="s">
        <v>11</v>
      </c>
      <c r="F145" s="6">
        <v>1</v>
      </c>
      <c r="G145" s="6">
        <v>624</v>
      </c>
    </row>
    <row r="146" s="2" customFormat="true" ht="22.5" customHeight="true" spans="1:7">
      <c r="A146" s="6">
        <f>144</f>
        <v>144</v>
      </c>
      <c r="B146" s="6" t="s">
        <v>183</v>
      </c>
      <c r="C146" s="6" t="s">
        <v>15</v>
      </c>
      <c r="D146" s="6" t="s">
        <v>159</v>
      </c>
      <c r="E146" s="6" t="s">
        <v>17</v>
      </c>
      <c r="F146" s="6">
        <v>1</v>
      </c>
      <c r="G146" s="6">
        <v>711</v>
      </c>
    </row>
    <row r="147" s="2" customFormat="true" ht="22.5" customHeight="true" spans="1:7">
      <c r="A147" s="6">
        <f>145</f>
        <v>145</v>
      </c>
      <c r="B147" s="6" t="s">
        <v>184</v>
      </c>
      <c r="C147" s="6" t="s">
        <v>15</v>
      </c>
      <c r="D147" s="6" t="s">
        <v>185</v>
      </c>
      <c r="E147" s="6" t="s">
        <v>17</v>
      </c>
      <c r="F147" s="6">
        <v>1</v>
      </c>
      <c r="G147" s="6">
        <v>619</v>
      </c>
    </row>
    <row r="148" s="2" customFormat="true" ht="22.5" customHeight="true" spans="1:7">
      <c r="A148" s="6">
        <f>146</f>
        <v>146</v>
      </c>
      <c r="B148" s="6" t="s">
        <v>186</v>
      </c>
      <c r="C148" s="6" t="s">
        <v>15</v>
      </c>
      <c r="D148" s="6" t="s">
        <v>129</v>
      </c>
      <c r="E148" s="6" t="s">
        <v>11</v>
      </c>
      <c r="F148" s="6">
        <v>1</v>
      </c>
      <c r="G148" s="6">
        <v>605</v>
      </c>
    </row>
    <row r="149" s="2" customFormat="true" ht="22.5" customHeight="true" spans="1:7">
      <c r="A149" s="6">
        <f>147</f>
        <v>147</v>
      </c>
      <c r="B149" s="6" t="s">
        <v>187</v>
      </c>
      <c r="C149" s="6" t="s">
        <v>15</v>
      </c>
      <c r="D149" s="6" t="s">
        <v>188</v>
      </c>
      <c r="E149" s="6" t="s">
        <v>11</v>
      </c>
      <c r="F149" s="6">
        <v>1</v>
      </c>
      <c r="G149" s="6">
        <v>629</v>
      </c>
    </row>
    <row r="150" s="2" customFormat="true" ht="22.5" customHeight="true" spans="1:7">
      <c r="A150" s="6">
        <f>148</f>
        <v>148</v>
      </c>
      <c r="B150" s="6" t="s">
        <v>189</v>
      </c>
      <c r="C150" s="6" t="s">
        <v>9</v>
      </c>
      <c r="D150" s="6" t="s">
        <v>182</v>
      </c>
      <c r="E150" s="6" t="s">
        <v>11</v>
      </c>
      <c r="F150" s="6">
        <v>1</v>
      </c>
      <c r="G150" s="6">
        <v>624</v>
      </c>
    </row>
    <row r="151" s="2" customFormat="true" ht="22.5" customHeight="true" spans="1:7">
      <c r="A151" s="6">
        <f>149</f>
        <v>149</v>
      </c>
      <c r="B151" s="6" t="s">
        <v>190</v>
      </c>
      <c r="C151" s="6" t="s">
        <v>15</v>
      </c>
      <c r="D151" s="6" t="s">
        <v>133</v>
      </c>
      <c r="E151" s="6" t="s">
        <v>17</v>
      </c>
      <c r="F151" s="6">
        <v>1</v>
      </c>
      <c r="G151" s="6">
        <v>639</v>
      </c>
    </row>
    <row r="152" s="2" customFormat="true" ht="22.5" customHeight="true" spans="1:7">
      <c r="A152" s="6">
        <f>150</f>
        <v>150</v>
      </c>
      <c r="B152" s="6" t="s">
        <v>191</v>
      </c>
      <c r="C152" s="6" t="s">
        <v>15</v>
      </c>
      <c r="D152" s="6" t="s">
        <v>192</v>
      </c>
      <c r="E152" s="6" t="s">
        <v>11</v>
      </c>
      <c r="F152" s="6">
        <v>1</v>
      </c>
      <c r="G152" s="6">
        <v>604</v>
      </c>
    </row>
    <row r="153" s="2" customFormat="true" ht="22.5" customHeight="true" spans="1:7">
      <c r="A153" s="6">
        <f>151</f>
        <v>151</v>
      </c>
      <c r="B153" s="6" t="s">
        <v>193</v>
      </c>
      <c r="C153" s="6" t="s">
        <v>9</v>
      </c>
      <c r="D153" s="6" t="s">
        <v>133</v>
      </c>
      <c r="E153" s="6" t="s">
        <v>17</v>
      </c>
      <c r="F153" s="6">
        <v>1</v>
      </c>
      <c r="G153" s="6">
        <v>595</v>
      </c>
    </row>
    <row r="154" s="2" customFormat="true" ht="22.5" customHeight="true" spans="1:7">
      <c r="A154" s="6">
        <f>152</f>
        <v>152</v>
      </c>
      <c r="B154" s="6" t="s">
        <v>194</v>
      </c>
      <c r="C154" s="6" t="s">
        <v>9</v>
      </c>
      <c r="D154" s="6" t="s">
        <v>146</v>
      </c>
      <c r="E154" s="6" t="s">
        <v>11</v>
      </c>
      <c r="F154" s="6">
        <v>1</v>
      </c>
      <c r="G154" s="6">
        <v>629</v>
      </c>
    </row>
    <row r="155" s="2" customFormat="true" ht="22.5" customHeight="true" spans="1:7">
      <c r="A155" s="6">
        <f>153</f>
        <v>153</v>
      </c>
      <c r="B155" s="6" t="s">
        <v>195</v>
      </c>
      <c r="C155" s="6" t="s">
        <v>9</v>
      </c>
      <c r="D155" s="6" t="s">
        <v>182</v>
      </c>
      <c r="E155" s="6" t="s">
        <v>11</v>
      </c>
      <c r="F155" s="6">
        <v>2</v>
      </c>
      <c r="G155" s="6">
        <v>1248</v>
      </c>
    </row>
    <row r="156" s="2" customFormat="true" ht="22.5" customHeight="true" spans="1:7">
      <c r="A156" s="6">
        <f>154</f>
        <v>154</v>
      </c>
      <c r="B156" s="6" t="s">
        <v>196</v>
      </c>
      <c r="C156" s="6" t="s">
        <v>9</v>
      </c>
      <c r="D156" s="6" t="s">
        <v>182</v>
      </c>
      <c r="E156" s="6" t="s">
        <v>11</v>
      </c>
      <c r="F156" s="6">
        <v>1</v>
      </c>
      <c r="G156" s="6">
        <v>624</v>
      </c>
    </row>
    <row r="157" s="2" customFormat="true" ht="22.5" customHeight="true" spans="1:7">
      <c r="A157" s="6">
        <f>155</f>
        <v>155</v>
      </c>
      <c r="B157" s="6" t="s">
        <v>197</v>
      </c>
      <c r="C157" s="6" t="s">
        <v>9</v>
      </c>
      <c r="D157" s="6" t="s">
        <v>131</v>
      </c>
      <c r="E157" s="6" t="s">
        <v>11</v>
      </c>
      <c r="F157" s="6">
        <v>1</v>
      </c>
      <c r="G157" s="6">
        <v>621</v>
      </c>
    </row>
    <row r="158" s="2" customFormat="true" ht="22.5" customHeight="true" spans="1:7">
      <c r="A158" s="6">
        <f>156</f>
        <v>156</v>
      </c>
      <c r="B158" s="6" t="s">
        <v>198</v>
      </c>
      <c r="C158" s="6" t="s">
        <v>15</v>
      </c>
      <c r="D158" s="6" t="s">
        <v>182</v>
      </c>
      <c r="E158" s="6" t="s">
        <v>11</v>
      </c>
      <c r="F158" s="6">
        <v>1</v>
      </c>
      <c r="G158" s="6">
        <v>594</v>
      </c>
    </row>
    <row r="159" s="2" customFormat="true" ht="22.5" customHeight="true" spans="1:7">
      <c r="A159" s="6">
        <f>157</f>
        <v>157</v>
      </c>
      <c r="B159" s="6" t="s">
        <v>199</v>
      </c>
      <c r="C159" s="6" t="s">
        <v>9</v>
      </c>
      <c r="D159" s="6" t="s">
        <v>138</v>
      </c>
      <c r="E159" s="6" t="s">
        <v>17</v>
      </c>
      <c r="F159" s="6">
        <v>2</v>
      </c>
      <c r="G159" s="6">
        <v>1246</v>
      </c>
    </row>
    <row r="160" s="2" customFormat="true" ht="22.5" customHeight="true" spans="1:7">
      <c r="A160" s="6">
        <f>158</f>
        <v>158</v>
      </c>
      <c r="B160" s="6" t="s">
        <v>200</v>
      </c>
      <c r="C160" s="6" t="s">
        <v>9</v>
      </c>
      <c r="D160" s="6" t="s">
        <v>117</v>
      </c>
      <c r="E160" s="6" t="s">
        <v>11</v>
      </c>
      <c r="F160" s="6">
        <v>2</v>
      </c>
      <c r="G160" s="6">
        <v>1228</v>
      </c>
    </row>
    <row r="161" s="2" customFormat="true" ht="22.5" customHeight="true" spans="1:7">
      <c r="A161" s="6">
        <f>159</f>
        <v>159</v>
      </c>
      <c r="B161" s="6" t="s">
        <v>201</v>
      </c>
      <c r="C161" s="6" t="s">
        <v>15</v>
      </c>
      <c r="D161" s="6" t="s">
        <v>202</v>
      </c>
      <c r="E161" s="6" t="s">
        <v>11</v>
      </c>
      <c r="F161" s="6">
        <v>1</v>
      </c>
      <c r="G161" s="6">
        <v>624</v>
      </c>
    </row>
    <row r="162" s="2" customFormat="true" ht="22.5" customHeight="true" spans="1:7">
      <c r="A162" s="6">
        <f>160</f>
        <v>160</v>
      </c>
      <c r="B162" s="6" t="s">
        <v>203</v>
      </c>
      <c r="C162" s="6" t="s">
        <v>15</v>
      </c>
      <c r="D162" s="6" t="s">
        <v>192</v>
      </c>
      <c r="E162" s="6" t="s">
        <v>11</v>
      </c>
      <c r="F162" s="6">
        <v>1</v>
      </c>
      <c r="G162" s="6">
        <v>609</v>
      </c>
    </row>
    <row r="163" s="2" customFormat="true" ht="22.5" customHeight="true" spans="1:7">
      <c r="A163" s="6">
        <f>161</f>
        <v>161</v>
      </c>
      <c r="B163" s="6" t="s">
        <v>204</v>
      </c>
      <c r="C163" s="6" t="s">
        <v>15</v>
      </c>
      <c r="D163" s="6" t="s">
        <v>138</v>
      </c>
      <c r="E163" s="6" t="s">
        <v>11</v>
      </c>
      <c r="F163" s="6">
        <v>1</v>
      </c>
      <c r="G163" s="6">
        <v>624</v>
      </c>
    </row>
    <row r="164" s="2" customFormat="true" ht="22.5" customHeight="true" spans="1:7">
      <c r="A164" s="6">
        <f>162</f>
        <v>162</v>
      </c>
      <c r="B164" s="6" t="s">
        <v>205</v>
      </c>
      <c r="C164" s="6" t="s">
        <v>15</v>
      </c>
      <c r="D164" s="6" t="s">
        <v>192</v>
      </c>
      <c r="E164" s="6" t="s">
        <v>11</v>
      </c>
      <c r="F164" s="6">
        <v>1</v>
      </c>
      <c r="G164" s="6">
        <v>680</v>
      </c>
    </row>
    <row r="165" s="2" customFormat="true" ht="22.5" customHeight="true" spans="1:7">
      <c r="A165" s="6">
        <f>163</f>
        <v>163</v>
      </c>
      <c r="B165" s="6" t="s">
        <v>206</v>
      </c>
      <c r="C165" s="6" t="s">
        <v>9</v>
      </c>
      <c r="D165" s="6" t="s">
        <v>143</v>
      </c>
      <c r="E165" s="6" t="s">
        <v>11</v>
      </c>
      <c r="F165" s="6">
        <v>1</v>
      </c>
      <c r="G165" s="6">
        <v>639</v>
      </c>
    </row>
    <row r="166" s="2" customFormat="true" ht="22.5" customHeight="true" spans="1:7">
      <c r="A166" s="6">
        <f>164</f>
        <v>164</v>
      </c>
      <c r="B166" s="6" t="s">
        <v>207</v>
      </c>
      <c r="C166" s="6" t="s">
        <v>15</v>
      </c>
      <c r="D166" s="6" t="s">
        <v>185</v>
      </c>
      <c r="E166" s="6" t="s">
        <v>11</v>
      </c>
      <c r="F166" s="6">
        <v>1</v>
      </c>
      <c r="G166" s="6">
        <v>566</v>
      </c>
    </row>
    <row r="167" s="2" customFormat="true" ht="22.5" customHeight="true" spans="1:7">
      <c r="A167" s="6">
        <f>165</f>
        <v>165</v>
      </c>
      <c r="B167" s="6" t="s">
        <v>208</v>
      </c>
      <c r="C167" s="6" t="s">
        <v>15</v>
      </c>
      <c r="D167" s="6" t="s">
        <v>209</v>
      </c>
      <c r="E167" s="6" t="s">
        <v>11</v>
      </c>
      <c r="F167" s="6">
        <v>1</v>
      </c>
      <c r="G167" s="6">
        <v>624</v>
      </c>
    </row>
    <row r="168" s="2" customFormat="true" ht="22.5" customHeight="true" spans="1:7">
      <c r="A168" s="6">
        <f>166</f>
        <v>166</v>
      </c>
      <c r="B168" s="6" t="s">
        <v>210</v>
      </c>
      <c r="C168" s="6" t="s">
        <v>9</v>
      </c>
      <c r="D168" s="6" t="s">
        <v>67</v>
      </c>
      <c r="E168" s="6" t="s">
        <v>11</v>
      </c>
      <c r="F168" s="6">
        <v>1</v>
      </c>
      <c r="G168" s="6">
        <v>614</v>
      </c>
    </row>
    <row r="169" s="2" customFormat="true" ht="22.5" customHeight="true" spans="1:7">
      <c r="A169" s="6">
        <f>167</f>
        <v>167</v>
      </c>
      <c r="B169" s="6" t="s">
        <v>211</v>
      </c>
      <c r="C169" s="6" t="s">
        <v>15</v>
      </c>
      <c r="D169" s="6" t="s">
        <v>192</v>
      </c>
      <c r="E169" s="6" t="s">
        <v>17</v>
      </c>
      <c r="F169" s="6">
        <v>1</v>
      </c>
      <c r="G169" s="6">
        <v>604</v>
      </c>
    </row>
    <row r="170" s="2" customFormat="true" ht="22.5" customHeight="true" spans="1:7">
      <c r="A170" s="6">
        <f>168</f>
        <v>168</v>
      </c>
      <c r="B170" s="6" t="s">
        <v>212</v>
      </c>
      <c r="C170" s="6" t="s">
        <v>15</v>
      </c>
      <c r="D170" s="6" t="s">
        <v>209</v>
      </c>
      <c r="E170" s="6" t="s">
        <v>11</v>
      </c>
      <c r="F170" s="6">
        <v>4</v>
      </c>
      <c r="G170" s="6">
        <v>2202</v>
      </c>
    </row>
    <row r="171" s="2" customFormat="true" ht="22.5" customHeight="true" spans="1:7">
      <c r="A171" s="6">
        <f>169</f>
        <v>169</v>
      </c>
      <c r="B171" s="6" t="s">
        <v>213</v>
      </c>
      <c r="C171" s="6" t="s">
        <v>9</v>
      </c>
      <c r="D171" s="6" t="s">
        <v>167</v>
      </c>
      <c r="E171" s="6" t="s">
        <v>11</v>
      </c>
      <c r="F171" s="6">
        <v>1</v>
      </c>
      <c r="G171" s="6">
        <v>644</v>
      </c>
    </row>
    <row r="172" s="2" customFormat="true" ht="22.5" customHeight="true" spans="1:7">
      <c r="A172" s="6">
        <f>170</f>
        <v>170</v>
      </c>
      <c r="B172" s="6" t="s">
        <v>214</v>
      </c>
      <c r="C172" s="6" t="s">
        <v>9</v>
      </c>
      <c r="D172" s="6" t="s">
        <v>16</v>
      </c>
      <c r="E172" s="6" t="s">
        <v>17</v>
      </c>
      <c r="F172" s="6">
        <v>4</v>
      </c>
      <c r="G172" s="6">
        <v>2195</v>
      </c>
    </row>
    <row r="173" s="2" customFormat="true" ht="22.5" customHeight="true" spans="1:7">
      <c r="A173" s="6">
        <f>171</f>
        <v>171</v>
      </c>
      <c r="B173" s="6" t="s">
        <v>215</v>
      </c>
      <c r="C173" s="6" t="s">
        <v>9</v>
      </c>
      <c r="D173" s="6" t="s">
        <v>122</v>
      </c>
      <c r="E173" s="6" t="s">
        <v>11</v>
      </c>
      <c r="F173" s="6">
        <v>2</v>
      </c>
      <c r="G173" s="6">
        <v>1228</v>
      </c>
    </row>
    <row r="174" s="2" customFormat="true" ht="22.5" customHeight="true" spans="1:7">
      <c r="A174" s="6">
        <f>172</f>
        <v>172</v>
      </c>
      <c r="B174" s="6" t="s">
        <v>216</v>
      </c>
      <c r="C174" s="6" t="s">
        <v>15</v>
      </c>
      <c r="D174" s="6" t="s">
        <v>133</v>
      </c>
      <c r="E174" s="6" t="s">
        <v>17</v>
      </c>
      <c r="F174" s="6">
        <v>1</v>
      </c>
      <c r="G174" s="6">
        <v>612</v>
      </c>
    </row>
    <row r="175" s="2" customFormat="true" ht="22.5" customHeight="true" spans="1:7">
      <c r="A175" s="6">
        <f>173</f>
        <v>173</v>
      </c>
      <c r="B175" s="6" t="s">
        <v>217</v>
      </c>
      <c r="C175" s="6" t="s">
        <v>15</v>
      </c>
      <c r="D175" s="6" t="s">
        <v>185</v>
      </c>
      <c r="E175" s="6" t="s">
        <v>17</v>
      </c>
      <c r="F175" s="6">
        <v>1</v>
      </c>
      <c r="G175" s="6">
        <v>619</v>
      </c>
    </row>
    <row r="176" s="2" customFormat="true" ht="22.5" customHeight="true" spans="1:7">
      <c r="A176" s="6">
        <f>174</f>
        <v>174</v>
      </c>
      <c r="B176" s="6" t="s">
        <v>218</v>
      </c>
      <c r="C176" s="6" t="s">
        <v>15</v>
      </c>
      <c r="D176" s="6" t="s">
        <v>49</v>
      </c>
      <c r="E176" s="6" t="s">
        <v>11</v>
      </c>
      <c r="F176" s="6">
        <v>1</v>
      </c>
      <c r="G176" s="6">
        <v>624</v>
      </c>
    </row>
    <row r="177" s="2" customFormat="true" ht="22.5" customHeight="true" spans="1:7">
      <c r="A177" s="6">
        <f>175</f>
        <v>175</v>
      </c>
      <c r="B177" s="6" t="s">
        <v>219</v>
      </c>
      <c r="C177" s="6" t="s">
        <v>9</v>
      </c>
      <c r="D177" s="6" t="s">
        <v>13</v>
      </c>
      <c r="E177" s="6" t="s">
        <v>11</v>
      </c>
      <c r="F177" s="6">
        <v>1</v>
      </c>
      <c r="G177" s="6">
        <v>614</v>
      </c>
    </row>
    <row r="178" s="2" customFormat="true" ht="22.5" customHeight="true" spans="1:7">
      <c r="A178" s="6">
        <f>176</f>
        <v>176</v>
      </c>
      <c r="B178" s="6" t="s">
        <v>220</v>
      </c>
      <c r="C178" s="6" t="s">
        <v>9</v>
      </c>
      <c r="D178" s="6" t="s">
        <v>16</v>
      </c>
      <c r="E178" s="6" t="s">
        <v>17</v>
      </c>
      <c r="F178" s="6">
        <v>1</v>
      </c>
      <c r="G178" s="6">
        <v>606</v>
      </c>
    </row>
    <row r="179" s="2" customFormat="true" ht="22.5" customHeight="true" spans="1:7">
      <c r="A179" s="6">
        <f>177</f>
        <v>177</v>
      </c>
      <c r="B179" s="6" t="s">
        <v>221</v>
      </c>
      <c r="C179" s="6" t="s">
        <v>15</v>
      </c>
      <c r="D179" s="6" t="s">
        <v>222</v>
      </c>
      <c r="E179" s="6" t="s">
        <v>11</v>
      </c>
      <c r="F179" s="6">
        <v>1</v>
      </c>
      <c r="G179" s="6">
        <v>591</v>
      </c>
    </row>
    <row r="180" s="2" customFormat="true" ht="22.5" customHeight="true" spans="1:7">
      <c r="A180" s="6">
        <f>178</f>
        <v>178</v>
      </c>
      <c r="B180" s="6" t="s">
        <v>223</v>
      </c>
      <c r="C180" s="6" t="s">
        <v>9</v>
      </c>
      <c r="D180" s="6" t="s">
        <v>167</v>
      </c>
      <c r="E180" s="6" t="s">
        <v>17</v>
      </c>
      <c r="F180" s="6">
        <v>1</v>
      </c>
      <c r="G180" s="6">
        <v>642</v>
      </c>
    </row>
    <row r="181" s="2" customFormat="true" ht="22.5" customHeight="true" spans="1:7">
      <c r="A181" s="6">
        <f>179</f>
        <v>179</v>
      </c>
      <c r="B181" s="6" t="s">
        <v>224</v>
      </c>
      <c r="C181" s="6" t="s">
        <v>9</v>
      </c>
      <c r="D181" s="6" t="s">
        <v>192</v>
      </c>
      <c r="E181" s="6" t="s">
        <v>11</v>
      </c>
      <c r="F181" s="6">
        <v>1</v>
      </c>
      <c r="G181" s="6">
        <v>614</v>
      </c>
    </row>
    <row r="182" s="2" customFormat="true" ht="22.5" customHeight="true" spans="1:7">
      <c r="A182" s="6">
        <f>180</f>
        <v>180</v>
      </c>
      <c r="B182" s="6" t="s">
        <v>225</v>
      </c>
      <c r="C182" s="6" t="s">
        <v>9</v>
      </c>
      <c r="D182" s="6" t="s">
        <v>188</v>
      </c>
      <c r="E182" s="6" t="s">
        <v>11</v>
      </c>
      <c r="F182" s="6">
        <v>2</v>
      </c>
      <c r="G182" s="6">
        <v>1060</v>
      </c>
    </row>
    <row r="183" s="2" customFormat="true" ht="22.5" customHeight="true" spans="1:7">
      <c r="A183" s="6">
        <f>181</f>
        <v>181</v>
      </c>
      <c r="B183" s="6" t="s">
        <v>226</v>
      </c>
      <c r="C183" s="6" t="s">
        <v>15</v>
      </c>
      <c r="D183" s="6" t="s">
        <v>182</v>
      </c>
      <c r="E183" s="6" t="s">
        <v>17</v>
      </c>
      <c r="F183" s="6">
        <v>4</v>
      </c>
      <c r="G183" s="6">
        <v>2612</v>
      </c>
    </row>
    <row r="184" s="2" customFormat="true" ht="22.5" customHeight="true" spans="1:7">
      <c r="A184" s="6">
        <f>182</f>
        <v>182</v>
      </c>
      <c r="B184" s="6" t="s">
        <v>227</v>
      </c>
      <c r="C184" s="6" t="s">
        <v>9</v>
      </c>
      <c r="D184" s="6" t="s">
        <v>180</v>
      </c>
      <c r="E184" s="6" t="s">
        <v>11</v>
      </c>
      <c r="F184" s="6">
        <v>1</v>
      </c>
      <c r="G184" s="6">
        <v>639</v>
      </c>
    </row>
    <row r="185" s="2" customFormat="true" ht="22.5" customHeight="true" spans="1:7">
      <c r="A185" s="6">
        <f>183</f>
        <v>183</v>
      </c>
      <c r="B185" s="6" t="s">
        <v>228</v>
      </c>
      <c r="C185" s="6" t="s">
        <v>15</v>
      </c>
      <c r="D185" s="6" t="s">
        <v>104</v>
      </c>
      <c r="E185" s="6" t="s">
        <v>17</v>
      </c>
      <c r="F185" s="6">
        <v>1</v>
      </c>
      <c r="G185" s="6">
        <v>690</v>
      </c>
    </row>
    <row r="186" s="2" customFormat="true" ht="22.5" customHeight="true" spans="1:7">
      <c r="A186" s="6">
        <f>184</f>
        <v>184</v>
      </c>
      <c r="B186" s="6" t="s">
        <v>229</v>
      </c>
      <c r="C186" s="6" t="s">
        <v>9</v>
      </c>
      <c r="D186" s="6" t="s">
        <v>230</v>
      </c>
      <c r="E186" s="6" t="s">
        <v>11</v>
      </c>
      <c r="F186" s="6">
        <v>2</v>
      </c>
      <c r="G186" s="6">
        <v>1228</v>
      </c>
    </row>
    <row r="187" s="2" customFormat="true" ht="22.5" customHeight="true" spans="1:7">
      <c r="A187" s="6">
        <f>185</f>
        <v>185</v>
      </c>
      <c r="B187" s="6" t="s">
        <v>231</v>
      </c>
      <c r="C187" s="6" t="s">
        <v>9</v>
      </c>
      <c r="D187" s="6" t="s">
        <v>133</v>
      </c>
      <c r="E187" s="6" t="s">
        <v>17</v>
      </c>
      <c r="F187" s="6">
        <v>1</v>
      </c>
      <c r="G187" s="6">
        <v>639</v>
      </c>
    </row>
    <row r="188" s="2" customFormat="true" ht="22.5" customHeight="true" spans="1:7">
      <c r="A188" s="6">
        <f>186</f>
        <v>186</v>
      </c>
      <c r="B188" s="6" t="s">
        <v>232</v>
      </c>
      <c r="C188" s="6" t="s">
        <v>15</v>
      </c>
      <c r="D188" s="6" t="s">
        <v>16</v>
      </c>
      <c r="E188" s="6" t="s">
        <v>17</v>
      </c>
      <c r="F188" s="6">
        <v>1</v>
      </c>
      <c r="G188" s="6">
        <v>581</v>
      </c>
    </row>
    <row r="189" s="2" customFormat="true" ht="22.5" customHeight="true" spans="1:7">
      <c r="A189" s="6">
        <f>187</f>
        <v>187</v>
      </c>
      <c r="B189" s="6" t="s">
        <v>233</v>
      </c>
      <c r="C189" s="6" t="s">
        <v>9</v>
      </c>
      <c r="D189" s="6" t="s">
        <v>185</v>
      </c>
      <c r="E189" s="6" t="s">
        <v>17</v>
      </c>
      <c r="F189" s="6">
        <v>1</v>
      </c>
      <c r="G189" s="6">
        <v>594</v>
      </c>
    </row>
    <row r="190" s="2" customFormat="true" ht="22.5" customHeight="true" spans="1:7">
      <c r="A190" s="6">
        <f>188</f>
        <v>188</v>
      </c>
      <c r="B190" s="6" t="s">
        <v>234</v>
      </c>
      <c r="C190" s="6" t="s">
        <v>15</v>
      </c>
      <c r="D190" s="6" t="s">
        <v>209</v>
      </c>
      <c r="E190" s="6" t="s">
        <v>11</v>
      </c>
      <c r="F190" s="6">
        <v>2</v>
      </c>
      <c r="G190" s="6">
        <v>1077</v>
      </c>
    </row>
    <row r="191" s="2" customFormat="true" ht="22.5" customHeight="true" spans="1:7">
      <c r="A191" s="6">
        <f>189</f>
        <v>189</v>
      </c>
      <c r="B191" s="6" t="s">
        <v>235</v>
      </c>
      <c r="C191" s="6" t="s">
        <v>15</v>
      </c>
      <c r="D191" s="6" t="s">
        <v>159</v>
      </c>
      <c r="E191" s="6" t="s">
        <v>11</v>
      </c>
      <c r="F191" s="6">
        <v>1</v>
      </c>
      <c r="G191" s="6">
        <v>596</v>
      </c>
    </row>
    <row r="192" s="2" customFormat="true" ht="22.5" customHeight="true" spans="1:7">
      <c r="A192" s="6">
        <f>190</f>
        <v>190</v>
      </c>
      <c r="B192" s="6" t="s">
        <v>236</v>
      </c>
      <c r="C192" s="6" t="s">
        <v>9</v>
      </c>
      <c r="D192" s="6" t="s">
        <v>230</v>
      </c>
      <c r="E192" s="6" t="s">
        <v>11</v>
      </c>
      <c r="F192" s="6">
        <v>1</v>
      </c>
      <c r="G192" s="6">
        <v>614</v>
      </c>
    </row>
    <row r="193" s="2" customFormat="true" ht="22.5" customHeight="true" spans="1:7">
      <c r="A193" s="6">
        <f>191</f>
        <v>191</v>
      </c>
      <c r="B193" s="6" t="s">
        <v>237</v>
      </c>
      <c r="C193" s="6" t="s">
        <v>15</v>
      </c>
      <c r="D193" s="6" t="s">
        <v>117</v>
      </c>
      <c r="E193" s="6" t="s">
        <v>11</v>
      </c>
      <c r="F193" s="6">
        <v>1</v>
      </c>
      <c r="G193" s="6">
        <v>624</v>
      </c>
    </row>
    <row r="194" s="2" customFormat="true" ht="22.5" customHeight="true" spans="1:7">
      <c r="A194" s="6">
        <f>192</f>
        <v>192</v>
      </c>
      <c r="B194" s="6" t="s">
        <v>238</v>
      </c>
      <c r="C194" s="6" t="s">
        <v>9</v>
      </c>
      <c r="D194" s="6" t="s">
        <v>239</v>
      </c>
      <c r="E194" s="6" t="s">
        <v>17</v>
      </c>
      <c r="F194" s="6">
        <v>2</v>
      </c>
      <c r="G194" s="6">
        <v>1248</v>
      </c>
    </row>
    <row r="195" s="2" customFormat="true" ht="22.5" customHeight="true" spans="1:7">
      <c r="A195" s="6">
        <f>193</f>
        <v>193</v>
      </c>
      <c r="B195" s="6" t="s">
        <v>240</v>
      </c>
      <c r="C195" s="6" t="s">
        <v>9</v>
      </c>
      <c r="D195" s="6" t="s">
        <v>13</v>
      </c>
      <c r="E195" s="6" t="s">
        <v>11</v>
      </c>
      <c r="F195" s="6">
        <v>1</v>
      </c>
      <c r="G195" s="6">
        <v>609</v>
      </c>
    </row>
    <row r="196" s="2" customFormat="true" ht="22.5" customHeight="true" spans="1:7">
      <c r="A196" s="6">
        <f>194</f>
        <v>194</v>
      </c>
      <c r="B196" s="6" t="s">
        <v>241</v>
      </c>
      <c r="C196" s="6" t="s">
        <v>15</v>
      </c>
      <c r="D196" s="6" t="s">
        <v>192</v>
      </c>
      <c r="E196" s="6" t="s">
        <v>11</v>
      </c>
      <c r="F196" s="6">
        <v>1</v>
      </c>
      <c r="G196" s="6">
        <v>609</v>
      </c>
    </row>
    <row r="197" s="2" customFormat="true" ht="22.5" customHeight="true" spans="1:7">
      <c r="A197" s="6">
        <f>195</f>
        <v>195</v>
      </c>
      <c r="B197" s="6" t="s">
        <v>186</v>
      </c>
      <c r="C197" s="6" t="s">
        <v>15</v>
      </c>
      <c r="D197" s="6" t="s">
        <v>136</v>
      </c>
      <c r="E197" s="6" t="s">
        <v>11</v>
      </c>
      <c r="F197" s="6">
        <v>1</v>
      </c>
      <c r="G197" s="6">
        <v>614</v>
      </c>
    </row>
    <row r="198" s="2" customFormat="true" ht="22.5" customHeight="true" spans="1:7">
      <c r="A198" s="6">
        <f>196</f>
        <v>196</v>
      </c>
      <c r="B198" s="6" t="s">
        <v>242</v>
      </c>
      <c r="C198" s="6" t="s">
        <v>15</v>
      </c>
      <c r="D198" s="6" t="s">
        <v>230</v>
      </c>
      <c r="E198" s="6" t="s">
        <v>11</v>
      </c>
      <c r="F198" s="6">
        <v>1</v>
      </c>
      <c r="G198" s="6">
        <v>629</v>
      </c>
    </row>
    <row r="199" s="2" customFormat="true" ht="22.5" customHeight="true" spans="1:7">
      <c r="A199" s="6">
        <f>197</f>
        <v>197</v>
      </c>
      <c r="B199" s="6" t="s">
        <v>243</v>
      </c>
      <c r="C199" s="6" t="s">
        <v>15</v>
      </c>
      <c r="D199" s="6" t="s">
        <v>122</v>
      </c>
      <c r="E199" s="6" t="s">
        <v>11</v>
      </c>
      <c r="F199" s="6">
        <v>1</v>
      </c>
      <c r="G199" s="6">
        <v>646</v>
      </c>
    </row>
    <row r="200" s="2" customFormat="true" ht="22.5" customHeight="true" spans="1:7">
      <c r="A200" s="6">
        <f>198</f>
        <v>198</v>
      </c>
      <c r="B200" s="6" t="s">
        <v>244</v>
      </c>
      <c r="C200" s="6" t="s">
        <v>9</v>
      </c>
      <c r="D200" s="6" t="s">
        <v>49</v>
      </c>
      <c r="E200" s="6" t="s">
        <v>11</v>
      </c>
      <c r="F200" s="6">
        <v>1</v>
      </c>
      <c r="G200" s="6">
        <v>609</v>
      </c>
    </row>
    <row r="201" s="2" customFormat="true" ht="22.5" customHeight="true" spans="1:7">
      <c r="A201" s="6">
        <f>199</f>
        <v>199</v>
      </c>
      <c r="B201" s="6" t="s">
        <v>228</v>
      </c>
      <c r="C201" s="6" t="s">
        <v>15</v>
      </c>
      <c r="D201" s="6" t="s">
        <v>136</v>
      </c>
      <c r="E201" s="6" t="s">
        <v>11</v>
      </c>
      <c r="F201" s="6">
        <v>1</v>
      </c>
      <c r="G201" s="6">
        <v>614</v>
      </c>
    </row>
    <row r="202" s="2" customFormat="true" ht="22.5" customHeight="true" spans="1:7">
      <c r="A202" s="6">
        <f>200</f>
        <v>200</v>
      </c>
      <c r="B202" s="6" t="s">
        <v>245</v>
      </c>
      <c r="C202" s="6" t="s">
        <v>9</v>
      </c>
      <c r="D202" s="6" t="s">
        <v>143</v>
      </c>
      <c r="E202" s="6" t="s">
        <v>11</v>
      </c>
      <c r="F202" s="6">
        <v>2</v>
      </c>
      <c r="G202" s="6">
        <v>1228</v>
      </c>
    </row>
    <row r="203" s="2" customFormat="true" ht="22.5" customHeight="true" spans="1:7">
      <c r="A203" s="6">
        <f>201</f>
        <v>201</v>
      </c>
      <c r="B203" s="6" t="s">
        <v>246</v>
      </c>
      <c r="C203" s="6" t="s">
        <v>15</v>
      </c>
      <c r="D203" s="6" t="s">
        <v>49</v>
      </c>
      <c r="E203" s="6" t="s">
        <v>11</v>
      </c>
      <c r="F203" s="6">
        <v>1</v>
      </c>
      <c r="G203" s="6">
        <v>597</v>
      </c>
    </row>
    <row r="204" s="2" customFormat="true" ht="22.5" customHeight="true" spans="1:7">
      <c r="A204" s="6">
        <f>202</f>
        <v>202</v>
      </c>
      <c r="B204" s="6" t="s">
        <v>247</v>
      </c>
      <c r="C204" s="6" t="s">
        <v>15</v>
      </c>
      <c r="D204" s="6" t="s">
        <v>164</v>
      </c>
      <c r="E204" s="6" t="s">
        <v>17</v>
      </c>
      <c r="F204" s="6">
        <v>2</v>
      </c>
      <c r="G204" s="6">
        <v>1256</v>
      </c>
    </row>
    <row r="205" s="2" customFormat="true" ht="22.5" customHeight="true" spans="1:7">
      <c r="A205" s="6">
        <f>203</f>
        <v>203</v>
      </c>
      <c r="B205" s="6" t="s">
        <v>248</v>
      </c>
      <c r="C205" s="6" t="s">
        <v>15</v>
      </c>
      <c r="D205" s="6" t="s">
        <v>133</v>
      </c>
      <c r="E205" s="6" t="s">
        <v>11</v>
      </c>
      <c r="F205" s="6">
        <v>1</v>
      </c>
      <c r="G205" s="6">
        <v>610</v>
      </c>
    </row>
    <row r="206" s="2" customFormat="true" ht="22.5" customHeight="true" spans="1:7">
      <c r="A206" s="6">
        <f>204</f>
        <v>204</v>
      </c>
      <c r="B206" s="6" t="s">
        <v>249</v>
      </c>
      <c r="C206" s="6" t="s">
        <v>9</v>
      </c>
      <c r="D206" s="6" t="s">
        <v>185</v>
      </c>
      <c r="E206" s="6" t="s">
        <v>11</v>
      </c>
      <c r="F206" s="6">
        <v>2</v>
      </c>
      <c r="G206" s="6">
        <v>1188</v>
      </c>
    </row>
    <row r="207" s="2" customFormat="true" ht="22.5" customHeight="true" spans="1:7">
      <c r="A207" s="6">
        <f>205</f>
        <v>205</v>
      </c>
      <c r="B207" s="6" t="s">
        <v>250</v>
      </c>
      <c r="C207" s="6" t="s">
        <v>9</v>
      </c>
      <c r="D207" s="6" t="s">
        <v>117</v>
      </c>
      <c r="E207" s="6" t="s">
        <v>17</v>
      </c>
      <c r="F207" s="6">
        <v>1</v>
      </c>
      <c r="G207" s="6">
        <v>652</v>
      </c>
    </row>
    <row r="208" s="2" customFormat="true" ht="22.5" customHeight="true" spans="1:7">
      <c r="A208" s="6">
        <f>206</f>
        <v>206</v>
      </c>
      <c r="B208" s="6" t="s">
        <v>251</v>
      </c>
      <c r="C208" s="6" t="s">
        <v>9</v>
      </c>
      <c r="D208" s="6" t="s">
        <v>182</v>
      </c>
      <c r="E208" s="6" t="s">
        <v>17</v>
      </c>
      <c r="F208" s="6">
        <v>2</v>
      </c>
      <c r="G208" s="6">
        <v>1266</v>
      </c>
    </row>
    <row r="209" s="2" customFormat="true" ht="22.5" customHeight="true" spans="1:7">
      <c r="A209" s="6">
        <f>207</f>
        <v>207</v>
      </c>
      <c r="B209" s="6" t="s">
        <v>252</v>
      </c>
      <c r="C209" s="6" t="s">
        <v>9</v>
      </c>
      <c r="D209" s="6" t="s">
        <v>182</v>
      </c>
      <c r="E209" s="6" t="s">
        <v>17</v>
      </c>
      <c r="F209" s="6">
        <v>2</v>
      </c>
      <c r="G209" s="6">
        <v>1276</v>
      </c>
    </row>
    <row r="210" s="2" customFormat="true" ht="22.5" customHeight="true" spans="1:7">
      <c r="A210" s="6">
        <f>208</f>
        <v>208</v>
      </c>
      <c r="B210" s="6" t="s">
        <v>253</v>
      </c>
      <c r="C210" s="6" t="s">
        <v>15</v>
      </c>
      <c r="D210" s="6" t="s">
        <v>16</v>
      </c>
      <c r="E210" s="6" t="s">
        <v>17</v>
      </c>
      <c r="F210" s="6">
        <v>1</v>
      </c>
      <c r="G210" s="6">
        <v>627</v>
      </c>
    </row>
    <row r="211" s="2" customFormat="true" ht="22.5" customHeight="true" spans="1:7">
      <c r="A211" s="6">
        <f>209</f>
        <v>209</v>
      </c>
      <c r="B211" s="6" t="s">
        <v>254</v>
      </c>
      <c r="C211" s="6" t="s">
        <v>15</v>
      </c>
      <c r="D211" s="6" t="s">
        <v>138</v>
      </c>
      <c r="E211" s="6" t="s">
        <v>11</v>
      </c>
      <c r="F211" s="6">
        <v>1</v>
      </c>
      <c r="G211" s="6">
        <v>614</v>
      </c>
    </row>
    <row r="212" s="2" customFormat="true" ht="22.5" customHeight="true" spans="1:7">
      <c r="A212" s="6">
        <f>210</f>
        <v>210</v>
      </c>
      <c r="B212" s="6" t="s">
        <v>255</v>
      </c>
      <c r="C212" s="6" t="s">
        <v>9</v>
      </c>
      <c r="D212" s="6" t="s">
        <v>230</v>
      </c>
      <c r="E212" s="6" t="s">
        <v>17</v>
      </c>
      <c r="F212" s="6">
        <v>2</v>
      </c>
      <c r="G212" s="6">
        <v>1284</v>
      </c>
    </row>
    <row r="213" s="2" customFormat="true" ht="22.5" customHeight="true" spans="1:7">
      <c r="A213" s="6">
        <f>211</f>
        <v>211</v>
      </c>
      <c r="B213" s="6" t="s">
        <v>256</v>
      </c>
      <c r="C213" s="6" t="s">
        <v>9</v>
      </c>
      <c r="D213" s="6" t="s">
        <v>117</v>
      </c>
      <c r="E213" s="6" t="s">
        <v>17</v>
      </c>
      <c r="F213" s="6">
        <v>3</v>
      </c>
      <c r="G213" s="6">
        <v>1861</v>
      </c>
    </row>
    <row r="214" s="2" customFormat="true" ht="22.5" customHeight="true" spans="1:7">
      <c r="A214" s="6">
        <f>212</f>
        <v>212</v>
      </c>
      <c r="B214" s="6" t="s">
        <v>257</v>
      </c>
      <c r="C214" s="6" t="s">
        <v>15</v>
      </c>
      <c r="D214" s="6" t="s">
        <v>182</v>
      </c>
      <c r="E214" s="6" t="s">
        <v>11</v>
      </c>
      <c r="F214" s="6">
        <v>1</v>
      </c>
      <c r="G214" s="6">
        <v>594</v>
      </c>
    </row>
    <row r="215" s="2" customFormat="true" ht="22.5" customHeight="true" spans="1:7">
      <c r="A215" s="6">
        <f>213</f>
        <v>213</v>
      </c>
      <c r="B215" s="6" t="s">
        <v>258</v>
      </c>
      <c r="C215" s="6" t="s">
        <v>9</v>
      </c>
      <c r="D215" s="6" t="s">
        <v>192</v>
      </c>
      <c r="E215" s="6" t="s">
        <v>17</v>
      </c>
      <c r="F215" s="6">
        <v>2</v>
      </c>
      <c r="G215" s="6">
        <v>1248</v>
      </c>
    </row>
    <row r="216" s="2" customFormat="true" ht="22.5" customHeight="true" spans="1:7">
      <c r="A216" s="6">
        <f>214</f>
        <v>214</v>
      </c>
      <c r="B216" s="6" t="s">
        <v>259</v>
      </c>
      <c r="C216" s="6" t="s">
        <v>15</v>
      </c>
      <c r="D216" s="6" t="s">
        <v>260</v>
      </c>
      <c r="E216" s="6" t="s">
        <v>17</v>
      </c>
      <c r="F216" s="6">
        <v>1</v>
      </c>
      <c r="G216" s="6">
        <v>614</v>
      </c>
    </row>
    <row r="217" s="2" customFormat="true" ht="22.5" customHeight="true" spans="1:7">
      <c r="A217" s="6">
        <f>215</f>
        <v>215</v>
      </c>
      <c r="B217" s="6" t="s">
        <v>261</v>
      </c>
      <c r="C217" s="6" t="s">
        <v>9</v>
      </c>
      <c r="D217" s="6" t="s">
        <v>136</v>
      </c>
      <c r="E217" s="6" t="s">
        <v>11</v>
      </c>
      <c r="F217" s="6">
        <v>1</v>
      </c>
      <c r="G217" s="6">
        <v>690</v>
      </c>
    </row>
    <row r="218" s="2" customFormat="true" ht="22.5" customHeight="true" spans="1:7">
      <c r="A218" s="6">
        <f>216</f>
        <v>216</v>
      </c>
      <c r="B218" s="6" t="s">
        <v>262</v>
      </c>
      <c r="C218" s="6" t="s">
        <v>9</v>
      </c>
      <c r="D218" s="6" t="s">
        <v>185</v>
      </c>
      <c r="E218" s="6" t="s">
        <v>17</v>
      </c>
      <c r="F218" s="6">
        <v>1</v>
      </c>
      <c r="G218" s="6">
        <v>566</v>
      </c>
    </row>
    <row r="219" s="2" customFormat="true" ht="22.5" customHeight="true" spans="1:7">
      <c r="A219" s="6">
        <f>217</f>
        <v>217</v>
      </c>
      <c r="B219" s="6" t="s">
        <v>263</v>
      </c>
      <c r="C219" s="6" t="s">
        <v>15</v>
      </c>
      <c r="D219" s="6" t="s">
        <v>117</v>
      </c>
      <c r="E219" s="6" t="s">
        <v>17</v>
      </c>
      <c r="F219" s="6">
        <v>1</v>
      </c>
      <c r="G219" s="6">
        <v>617</v>
      </c>
    </row>
    <row r="220" s="2" customFormat="true" ht="22.5" customHeight="true" spans="1:7">
      <c r="A220" s="6">
        <f>218</f>
        <v>218</v>
      </c>
      <c r="B220" s="6" t="s">
        <v>264</v>
      </c>
      <c r="C220" s="6" t="s">
        <v>15</v>
      </c>
      <c r="D220" s="6" t="s">
        <v>117</v>
      </c>
      <c r="E220" s="6" t="s">
        <v>17</v>
      </c>
      <c r="F220" s="6">
        <v>1</v>
      </c>
      <c r="G220" s="6">
        <v>706</v>
      </c>
    </row>
    <row r="221" s="2" customFormat="true" ht="22.5" customHeight="true" spans="1:7">
      <c r="A221" s="6">
        <f>219</f>
        <v>219</v>
      </c>
      <c r="B221" s="6" t="s">
        <v>265</v>
      </c>
      <c r="C221" s="6" t="s">
        <v>9</v>
      </c>
      <c r="D221" s="6" t="s">
        <v>143</v>
      </c>
      <c r="E221" s="6" t="s">
        <v>17</v>
      </c>
      <c r="F221" s="6">
        <v>1</v>
      </c>
      <c r="G221" s="6">
        <v>639</v>
      </c>
    </row>
    <row r="222" s="2" customFormat="true" ht="22.5" customHeight="true" spans="1:7">
      <c r="A222" s="6">
        <f>220</f>
        <v>220</v>
      </c>
      <c r="B222" s="6" t="s">
        <v>266</v>
      </c>
      <c r="C222" s="6" t="s">
        <v>15</v>
      </c>
      <c r="D222" s="6" t="s">
        <v>129</v>
      </c>
      <c r="E222" s="6" t="s">
        <v>17</v>
      </c>
      <c r="F222" s="6">
        <v>1</v>
      </c>
      <c r="G222" s="6">
        <v>729</v>
      </c>
    </row>
    <row r="223" s="2" customFormat="true" ht="22.5" customHeight="true" spans="1:7">
      <c r="A223" s="6">
        <f>221</f>
        <v>221</v>
      </c>
      <c r="B223" s="6" t="s">
        <v>267</v>
      </c>
      <c r="C223" s="6" t="s">
        <v>15</v>
      </c>
      <c r="D223" s="6" t="s">
        <v>16</v>
      </c>
      <c r="E223" s="6" t="s">
        <v>17</v>
      </c>
      <c r="F223" s="6">
        <v>2</v>
      </c>
      <c r="G223" s="6">
        <v>1066</v>
      </c>
    </row>
    <row r="224" s="2" customFormat="true" ht="22.5" customHeight="true" spans="1:7">
      <c r="A224" s="6">
        <f>222</f>
        <v>222</v>
      </c>
      <c r="B224" s="6" t="s">
        <v>268</v>
      </c>
      <c r="C224" s="6" t="s">
        <v>9</v>
      </c>
      <c r="D224" s="6" t="s">
        <v>129</v>
      </c>
      <c r="E224" s="6" t="s">
        <v>11</v>
      </c>
      <c r="F224" s="6">
        <v>2</v>
      </c>
      <c r="G224" s="6">
        <v>1238</v>
      </c>
    </row>
    <row r="225" s="2" customFormat="true" ht="22.5" customHeight="true" spans="1:7">
      <c r="A225" s="6">
        <f>223</f>
        <v>223</v>
      </c>
      <c r="B225" s="6" t="s">
        <v>269</v>
      </c>
      <c r="C225" s="6" t="s">
        <v>9</v>
      </c>
      <c r="D225" s="6" t="s">
        <v>149</v>
      </c>
      <c r="E225" s="6" t="s">
        <v>11</v>
      </c>
      <c r="F225" s="6">
        <v>2</v>
      </c>
      <c r="G225" s="6">
        <v>1228</v>
      </c>
    </row>
    <row r="226" s="2" customFormat="true" ht="22.5" customHeight="true" spans="1:7">
      <c r="A226" s="6">
        <f>224</f>
        <v>224</v>
      </c>
      <c r="B226" s="6" t="s">
        <v>247</v>
      </c>
      <c r="C226" s="6" t="s">
        <v>15</v>
      </c>
      <c r="D226" s="6" t="s">
        <v>270</v>
      </c>
      <c r="E226" s="6" t="s">
        <v>11</v>
      </c>
      <c r="F226" s="6">
        <v>1</v>
      </c>
      <c r="G226" s="6">
        <v>584</v>
      </c>
    </row>
    <row r="227" s="2" customFormat="true" ht="22.5" customHeight="true" spans="1:7">
      <c r="A227" s="6">
        <f>225</f>
        <v>225</v>
      </c>
      <c r="B227" s="6" t="s">
        <v>271</v>
      </c>
      <c r="C227" s="6" t="s">
        <v>9</v>
      </c>
      <c r="D227" s="6" t="s">
        <v>230</v>
      </c>
      <c r="E227" s="6" t="s">
        <v>11</v>
      </c>
      <c r="F227" s="6">
        <v>2</v>
      </c>
      <c r="G227" s="6">
        <v>1248</v>
      </c>
    </row>
    <row r="228" s="2" customFormat="true" ht="22.5" customHeight="true" spans="1:7">
      <c r="A228" s="6">
        <f>226</f>
        <v>226</v>
      </c>
      <c r="B228" s="6" t="s">
        <v>272</v>
      </c>
      <c r="C228" s="6" t="s">
        <v>9</v>
      </c>
      <c r="D228" s="6" t="s">
        <v>16</v>
      </c>
      <c r="E228" s="6" t="s">
        <v>17</v>
      </c>
      <c r="F228" s="6">
        <v>1</v>
      </c>
      <c r="G228" s="6">
        <v>624</v>
      </c>
    </row>
    <row r="229" s="2" customFormat="true" ht="22.5" customHeight="true" spans="1:7">
      <c r="A229" s="6">
        <f>227</f>
        <v>227</v>
      </c>
      <c r="B229" s="6" t="s">
        <v>273</v>
      </c>
      <c r="C229" s="6" t="s">
        <v>9</v>
      </c>
      <c r="D229" s="6" t="s">
        <v>202</v>
      </c>
      <c r="E229" s="6" t="s">
        <v>11</v>
      </c>
      <c r="F229" s="6">
        <v>1</v>
      </c>
      <c r="G229" s="6">
        <v>609</v>
      </c>
    </row>
    <row r="230" s="2" customFormat="true" ht="22.5" customHeight="true" spans="1:7">
      <c r="A230" s="6">
        <f>228</f>
        <v>228</v>
      </c>
      <c r="B230" s="6" t="s">
        <v>274</v>
      </c>
      <c r="C230" s="6" t="s">
        <v>9</v>
      </c>
      <c r="D230" s="6" t="s">
        <v>117</v>
      </c>
      <c r="E230" s="6" t="s">
        <v>11</v>
      </c>
      <c r="F230" s="6">
        <v>2</v>
      </c>
      <c r="G230" s="6">
        <v>1212</v>
      </c>
    </row>
    <row r="231" s="2" customFormat="true" ht="22.5" customHeight="true" spans="1:7">
      <c r="A231" s="6">
        <f>229</f>
        <v>229</v>
      </c>
      <c r="B231" s="6" t="s">
        <v>275</v>
      </c>
      <c r="C231" s="6" t="s">
        <v>9</v>
      </c>
      <c r="D231" s="6" t="s">
        <v>67</v>
      </c>
      <c r="E231" s="6" t="s">
        <v>11</v>
      </c>
      <c r="F231" s="6">
        <v>2</v>
      </c>
      <c r="G231" s="6">
        <v>1164</v>
      </c>
    </row>
    <row r="232" s="2" customFormat="true" ht="22.5" customHeight="true" spans="1:7">
      <c r="A232" s="6">
        <f>230</f>
        <v>230</v>
      </c>
      <c r="B232" s="6" t="s">
        <v>276</v>
      </c>
      <c r="C232" s="6" t="s">
        <v>15</v>
      </c>
      <c r="D232" s="6" t="s">
        <v>131</v>
      </c>
      <c r="E232" s="6" t="s">
        <v>11</v>
      </c>
      <c r="F232" s="6">
        <v>2</v>
      </c>
      <c r="G232" s="6">
        <v>1139</v>
      </c>
    </row>
    <row r="233" s="2" customFormat="true" ht="22.5" customHeight="true" spans="1:7">
      <c r="A233" s="6">
        <f>231</f>
        <v>231</v>
      </c>
      <c r="B233" s="6" t="s">
        <v>277</v>
      </c>
      <c r="C233" s="6" t="s">
        <v>15</v>
      </c>
      <c r="D233" s="6" t="s">
        <v>13</v>
      </c>
      <c r="E233" s="6" t="s">
        <v>11</v>
      </c>
      <c r="F233" s="6">
        <v>1</v>
      </c>
      <c r="G233" s="6">
        <v>614</v>
      </c>
    </row>
    <row r="234" s="2" customFormat="true" ht="22.5" customHeight="true" spans="1:7">
      <c r="A234" s="6">
        <f>232</f>
        <v>232</v>
      </c>
      <c r="B234" s="6" t="s">
        <v>278</v>
      </c>
      <c r="C234" s="6" t="s">
        <v>9</v>
      </c>
      <c r="D234" s="6" t="s">
        <v>182</v>
      </c>
      <c r="E234" s="6" t="s">
        <v>11</v>
      </c>
      <c r="F234" s="6">
        <v>1</v>
      </c>
      <c r="G234" s="6">
        <v>599</v>
      </c>
    </row>
    <row r="235" s="2" customFormat="true" ht="22.5" customHeight="true" spans="1:7">
      <c r="A235" s="6">
        <f>233</f>
        <v>233</v>
      </c>
      <c r="B235" s="6" t="s">
        <v>279</v>
      </c>
      <c r="C235" s="6" t="s">
        <v>9</v>
      </c>
      <c r="D235" s="6" t="s">
        <v>280</v>
      </c>
      <c r="E235" s="6" t="s">
        <v>11</v>
      </c>
      <c r="F235" s="6">
        <v>1</v>
      </c>
      <c r="G235" s="6">
        <v>624</v>
      </c>
    </row>
    <row r="236" s="2" customFormat="true" ht="22.5" customHeight="true" spans="1:7">
      <c r="A236" s="6">
        <f>234</f>
        <v>234</v>
      </c>
      <c r="B236" s="6" t="s">
        <v>281</v>
      </c>
      <c r="C236" s="6" t="s">
        <v>9</v>
      </c>
      <c r="D236" s="6" t="s">
        <v>260</v>
      </c>
      <c r="E236" s="6" t="s">
        <v>17</v>
      </c>
      <c r="F236" s="6">
        <v>2</v>
      </c>
      <c r="G236" s="6">
        <v>1192</v>
      </c>
    </row>
    <row r="237" s="2" customFormat="true" ht="22.5" customHeight="true" spans="1:7">
      <c r="A237" s="6">
        <f>235</f>
        <v>235</v>
      </c>
      <c r="B237" s="6" t="s">
        <v>282</v>
      </c>
      <c r="C237" s="6" t="s">
        <v>15</v>
      </c>
      <c r="D237" s="6" t="s">
        <v>49</v>
      </c>
      <c r="E237" s="6" t="s">
        <v>17</v>
      </c>
      <c r="F237" s="6">
        <v>1</v>
      </c>
      <c r="G237" s="6">
        <v>676</v>
      </c>
    </row>
    <row r="238" s="2" customFormat="true" ht="22.5" customHeight="true" spans="1:7">
      <c r="A238" s="6">
        <f>236</f>
        <v>236</v>
      </c>
      <c r="B238" s="6" t="s">
        <v>283</v>
      </c>
      <c r="C238" s="6" t="s">
        <v>15</v>
      </c>
      <c r="D238" s="6" t="s">
        <v>202</v>
      </c>
      <c r="E238" s="6" t="s">
        <v>11</v>
      </c>
      <c r="F238" s="6">
        <v>1</v>
      </c>
      <c r="G238" s="6">
        <v>621</v>
      </c>
    </row>
    <row r="239" s="2" customFormat="true" ht="22.5" customHeight="true" spans="1:7">
      <c r="A239" s="6">
        <f>237</f>
        <v>237</v>
      </c>
      <c r="B239" s="6" t="s">
        <v>284</v>
      </c>
      <c r="C239" s="6" t="s">
        <v>9</v>
      </c>
      <c r="D239" s="6" t="s">
        <v>146</v>
      </c>
      <c r="E239" s="6" t="s">
        <v>17</v>
      </c>
      <c r="F239" s="6">
        <v>2</v>
      </c>
      <c r="G239" s="6">
        <v>1179</v>
      </c>
    </row>
    <row r="240" s="2" customFormat="true" ht="22.5" customHeight="true" spans="1:7">
      <c r="A240" s="6">
        <f>238</f>
        <v>238</v>
      </c>
      <c r="B240" s="6" t="s">
        <v>285</v>
      </c>
      <c r="C240" s="6" t="s">
        <v>15</v>
      </c>
      <c r="D240" s="6" t="s">
        <v>159</v>
      </c>
      <c r="E240" s="6" t="s">
        <v>11</v>
      </c>
      <c r="F240" s="6">
        <v>1</v>
      </c>
      <c r="G240" s="6">
        <v>629</v>
      </c>
    </row>
    <row r="241" s="2" customFormat="true" ht="22.5" customHeight="true" spans="1:7">
      <c r="A241" s="6">
        <f>239</f>
        <v>239</v>
      </c>
      <c r="B241" s="6" t="s">
        <v>286</v>
      </c>
      <c r="C241" s="6" t="s">
        <v>9</v>
      </c>
      <c r="D241" s="6" t="s">
        <v>202</v>
      </c>
      <c r="E241" s="6" t="s">
        <v>11</v>
      </c>
      <c r="F241" s="6">
        <v>2</v>
      </c>
      <c r="G241" s="6">
        <v>1094</v>
      </c>
    </row>
    <row r="242" s="2" customFormat="true" ht="22.5" customHeight="true" spans="1:7">
      <c r="A242" s="6">
        <f>240</f>
        <v>240</v>
      </c>
      <c r="B242" s="6" t="s">
        <v>287</v>
      </c>
      <c r="C242" s="6" t="s">
        <v>9</v>
      </c>
      <c r="D242" s="6" t="s">
        <v>164</v>
      </c>
      <c r="E242" s="6" t="s">
        <v>11</v>
      </c>
      <c r="F242" s="6">
        <v>1</v>
      </c>
      <c r="G242" s="6">
        <v>624</v>
      </c>
    </row>
    <row r="243" s="2" customFormat="true" ht="22.5" customHeight="true" spans="1:7">
      <c r="A243" s="6">
        <f>241</f>
        <v>241</v>
      </c>
      <c r="B243" s="6" t="s">
        <v>288</v>
      </c>
      <c r="C243" s="6" t="s">
        <v>9</v>
      </c>
      <c r="D243" s="6" t="s">
        <v>138</v>
      </c>
      <c r="E243" s="6" t="s">
        <v>17</v>
      </c>
      <c r="F243" s="6">
        <v>2</v>
      </c>
      <c r="G243" s="6">
        <v>1236</v>
      </c>
    </row>
    <row r="244" s="2" customFormat="true" ht="22.5" customHeight="true" spans="1:7">
      <c r="A244" s="6">
        <f>242</f>
        <v>242</v>
      </c>
      <c r="B244" s="6" t="s">
        <v>289</v>
      </c>
      <c r="C244" s="6" t="s">
        <v>9</v>
      </c>
      <c r="D244" s="6" t="s">
        <v>49</v>
      </c>
      <c r="E244" s="6" t="s">
        <v>17</v>
      </c>
      <c r="F244" s="6">
        <v>3</v>
      </c>
      <c r="G244" s="6">
        <v>1846</v>
      </c>
    </row>
    <row r="245" s="2" customFormat="true" ht="22.5" customHeight="true" spans="1:7">
      <c r="A245" s="6">
        <f>243</f>
        <v>243</v>
      </c>
      <c r="B245" s="6" t="s">
        <v>290</v>
      </c>
      <c r="C245" s="6" t="s">
        <v>9</v>
      </c>
      <c r="D245" s="6" t="s">
        <v>182</v>
      </c>
      <c r="E245" s="6" t="s">
        <v>11</v>
      </c>
      <c r="F245" s="6">
        <v>1</v>
      </c>
      <c r="G245" s="6">
        <v>624</v>
      </c>
    </row>
    <row r="246" s="2" customFormat="true" ht="22.5" customHeight="true" spans="1:7">
      <c r="A246" s="6">
        <f>244</f>
        <v>244</v>
      </c>
      <c r="B246" s="6" t="s">
        <v>246</v>
      </c>
      <c r="C246" s="6" t="s">
        <v>15</v>
      </c>
      <c r="D246" s="6" t="s">
        <v>182</v>
      </c>
      <c r="E246" s="6" t="s">
        <v>17</v>
      </c>
      <c r="F246" s="6">
        <v>1</v>
      </c>
      <c r="G246" s="6">
        <v>548</v>
      </c>
    </row>
    <row r="247" s="2" customFormat="true" ht="22.5" customHeight="true" spans="1:7">
      <c r="A247" s="6">
        <f>245</f>
        <v>245</v>
      </c>
      <c r="B247" s="6" t="s">
        <v>217</v>
      </c>
      <c r="C247" s="6" t="s">
        <v>15</v>
      </c>
      <c r="D247" s="6" t="s">
        <v>16</v>
      </c>
      <c r="E247" s="6" t="s">
        <v>17</v>
      </c>
      <c r="F247" s="6">
        <v>1</v>
      </c>
      <c r="G247" s="6">
        <v>594</v>
      </c>
    </row>
    <row r="248" s="2" customFormat="true" ht="22.5" customHeight="true" spans="1:7">
      <c r="A248" s="6">
        <f>246</f>
        <v>246</v>
      </c>
      <c r="B248" s="6" t="s">
        <v>224</v>
      </c>
      <c r="C248" s="6" t="s">
        <v>15</v>
      </c>
      <c r="D248" s="6" t="s">
        <v>182</v>
      </c>
      <c r="E248" s="6" t="s">
        <v>11</v>
      </c>
      <c r="F248" s="6">
        <v>1</v>
      </c>
      <c r="G248" s="6">
        <v>624</v>
      </c>
    </row>
    <row r="249" s="2" customFormat="true" ht="22.5" customHeight="true" spans="1:7">
      <c r="A249" s="6">
        <f>247</f>
        <v>247</v>
      </c>
      <c r="B249" s="6" t="s">
        <v>291</v>
      </c>
      <c r="C249" s="6" t="s">
        <v>15</v>
      </c>
      <c r="D249" s="6" t="s">
        <v>164</v>
      </c>
      <c r="E249" s="6" t="s">
        <v>11</v>
      </c>
      <c r="F249" s="6">
        <v>1</v>
      </c>
      <c r="G249" s="6">
        <v>678</v>
      </c>
    </row>
    <row r="250" s="2" customFormat="true" ht="22.5" customHeight="true" spans="1:7">
      <c r="A250" s="6">
        <f>248</f>
        <v>248</v>
      </c>
      <c r="B250" s="6" t="s">
        <v>292</v>
      </c>
      <c r="C250" s="6" t="s">
        <v>9</v>
      </c>
      <c r="D250" s="6" t="s">
        <v>185</v>
      </c>
      <c r="E250" s="6" t="s">
        <v>17</v>
      </c>
      <c r="F250" s="6">
        <v>1</v>
      </c>
      <c r="G250" s="6">
        <v>619</v>
      </c>
    </row>
    <row r="251" s="2" customFormat="true" ht="22.5" customHeight="true" spans="1:7">
      <c r="A251" s="6">
        <f>249</f>
        <v>249</v>
      </c>
      <c r="B251" s="6" t="s">
        <v>293</v>
      </c>
      <c r="C251" s="6" t="s">
        <v>9</v>
      </c>
      <c r="D251" s="6" t="s">
        <v>239</v>
      </c>
      <c r="E251" s="6" t="s">
        <v>17</v>
      </c>
      <c r="F251" s="6">
        <v>2</v>
      </c>
      <c r="G251" s="6">
        <v>1266</v>
      </c>
    </row>
    <row r="252" s="2" customFormat="true" ht="22.5" customHeight="true" spans="1:7">
      <c r="A252" s="6">
        <f>250</f>
        <v>250</v>
      </c>
      <c r="B252" s="6" t="s">
        <v>294</v>
      </c>
      <c r="C252" s="6" t="s">
        <v>9</v>
      </c>
      <c r="D252" s="6" t="s">
        <v>209</v>
      </c>
      <c r="E252" s="6" t="s">
        <v>11</v>
      </c>
      <c r="F252" s="6">
        <v>1</v>
      </c>
      <c r="G252" s="6">
        <v>624</v>
      </c>
    </row>
    <row r="253" s="2" customFormat="true" ht="22.5" customHeight="true" spans="1:7">
      <c r="A253" s="6">
        <f>251</f>
        <v>251</v>
      </c>
      <c r="B253" s="6" t="s">
        <v>295</v>
      </c>
      <c r="C253" s="6" t="s">
        <v>15</v>
      </c>
      <c r="D253" s="6" t="s">
        <v>209</v>
      </c>
      <c r="E253" s="6" t="s">
        <v>17</v>
      </c>
      <c r="F253" s="6">
        <v>2</v>
      </c>
      <c r="G253" s="6">
        <v>1266</v>
      </c>
    </row>
    <row r="254" s="2" customFormat="true" ht="22.5" customHeight="true" spans="1:7">
      <c r="A254" s="6">
        <f>252</f>
        <v>252</v>
      </c>
      <c r="B254" s="6" t="s">
        <v>296</v>
      </c>
      <c r="C254" s="6" t="s">
        <v>9</v>
      </c>
      <c r="D254" s="6" t="s">
        <v>16</v>
      </c>
      <c r="E254" s="6" t="s">
        <v>17</v>
      </c>
      <c r="F254" s="6">
        <v>2</v>
      </c>
      <c r="G254" s="6">
        <v>1256</v>
      </c>
    </row>
    <row r="255" s="2" customFormat="true" ht="22.5" customHeight="true" spans="1:7">
      <c r="A255" s="6">
        <f>253</f>
        <v>253</v>
      </c>
      <c r="B255" s="6" t="s">
        <v>297</v>
      </c>
      <c r="C255" s="6" t="s">
        <v>9</v>
      </c>
      <c r="D255" s="6" t="s">
        <v>167</v>
      </c>
      <c r="E255" s="6" t="s">
        <v>17</v>
      </c>
      <c r="F255" s="6">
        <v>2</v>
      </c>
      <c r="G255" s="6">
        <v>1209</v>
      </c>
    </row>
    <row r="256" s="2" customFormat="true" ht="22.5" customHeight="true" spans="1:7">
      <c r="A256" s="6">
        <f>254</f>
        <v>254</v>
      </c>
      <c r="B256" s="6" t="s">
        <v>298</v>
      </c>
      <c r="C256" s="6" t="s">
        <v>15</v>
      </c>
      <c r="D256" s="6" t="s">
        <v>280</v>
      </c>
      <c r="E256" s="6" t="s">
        <v>17</v>
      </c>
      <c r="F256" s="6">
        <v>1</v>
      </c>
      <c r="G256" s="6">
        <v>711</v>
      </c>
    </row>
    <row r="257" s="2" customFormat="true" ht="22.5" customHeight="true" spans="1:7">
      <c r="A257" s="6">
        <f>255</f>
        <v>255</v>
      </c>
      <c r="B257" s="6" t="s">
        <v>299</v>
      </c>
      <c r="C257" s="6" t="s">
        <v>9</v>
      </c>
      <c r="D257" s="6" t="s">
        <v>16</v>
      </c>
      <c r="E257" s="6" t="s">
        <v>11</v>
      </c>
      <c r="F257" s="6">
        <v>1</v>
      </c>
      <c r="G257" s="6">
        <v>594</v>
      </c>
    </row>
    <row r="258" s="2" customFormat="true" ht="22.5" customHeight="true" spans="1:7">
      <c r="A258" s="6">
        <f>256</f>
        <v>256</v>
      </c>
      <c r="B258" s="6" t="s">
        <v>300</v>
      </c>
      <c r="C258" s="6" t="s">
        <v>9</v>
      </c>
      <c r="D258" s="6" t="s">
        <v>67</v>
      </c>
      <c r="E258" s="6" t="s">
        <v>11</v>
      </c>
      <c r="F258" s="6">
        <v>2</v>
      </c>
      <c r="G258" s="6">
        <v>1228</v>
      </c>
    </row>
    <row r="259" s="2" customFormat="true" ht="22.5" customHeight="true" spans="1:7">
      <c r="A259" s="6">
        <f>257</f>
        <v>257</v>
      </c>
      <c r="B259" s="6" t="s">
        <v>301</v>
      </c>
      <c r="C259" s="6" t="s">
        <v>15</v>
      </c>
      <c r="D259" s="6" t="s">
        <v>260</v>
      </c>
      <c r="E259" s="6" t="s">
        <v>11</v>
      </c>
      <c r="F259" s="6">
        <v>1</v>
      </c>
      <c r="G259" s="6">
        <v>649</v>
      </c>
    </row>
    <row r="260" s="2" customFormat="true" ht="22.5" customHeight="true" spans="1:7">
      <c r="A260" s="6">
        <f>258</f>
        <v>258</v>
      </c>
      <c r="B260" s="6" t="s">
        <v>302</v>
      </c>
      <c r="C260" s="6" t="s">
        <v>15</v>
      </c>
      <c r="D260" s="6" t="s">
        <v>182</v>
      </c>
      <c r="E260" s="6" t="s">
        <v>11</v>
      </c>
      <c r="F260" s="6">
        <v>1</v>
      </c>
      <c r="G260" s="6">
        <v>619</v>
      </c>
    </row>
    <row r="261" s="2" customFormat="true" ht="22.5" customHeight="true" spans="1:7">
      <c r="A261" s="6">
        <f>259</f>
        <v>259</v>
      </c>
      <c r="B261" s="6" t="s">
        <v>303</v>
      </c>
      <c r="C261" s="6" t="s">
        <v>9</v>
      </c>
      <c r="D261" s="6" t="s">
        <v>143</v>
      </c>
      <c r="E261" s="6" t="s">
        <v>11</v>
      </c>
      <c r="F261" s="6">
        <v>1</v>
      </c>
      <c r="G261" s="6">
        <v>639</v>
      </c>
    </row>
    <row r="262" s="2" customFormat="true" ht="22.5" customHeight="true" spans="1:7">
      <c r="A262" s="6">
        <f>260</f>
        <v>260</v>
      </c>
      <c r="B262" s="6" t="s">
        <v>304</v>
      </c>
      <c r="C262" s="6" t="s">
        <v>9</v>
      </c>
      <c r="D262" s="6" t="s">
        <v>122</v>
      </c>
      <c r="E262" s="6" t="s">
        <v>11</v>
      </c>
      <c r="F262" s="6">
        <v>1</v>
      </c>
      <c r="G262" s="6">
        <v>606</v>
      </c>
    </row>
    <row r="263" s="2" customFormat="true" ht="22.5" customHeight="true" spans="1:7">
      <c r="A263" s="6">
        <f>261</f>
        <v>261</v>
      </c>
      <c r="B263" s="6" t="s">
        <v>305</v>
      </c>
      <c r="C263" s="6" t="s">
        <v>9</v>
      </c>
      <c r="D263" s="6" t="s">
        <v>185</v>
      </c>
      <c r="E263" s="6" t="s">
        <v>17</v>
      </c>
      <c r="F263" s="6">
        <v>1</v>
      </c>
      <c r="G263" s="6">
        <v>619</v>
      </c>
    </row>
    <row r="264" s="2" customFormat="true" ht="22.5" customHeight="true" spans="1:7">
      <c r="A264" s="6">
        <f>262</f>
        <v>262</v>
      </c>
      <c r="B264" s="6" t="s">
        <v>306</v>
      </c>
      <c r="C264" s="6" t="s">
        <v>9</v>
      </c>
      <c r="D264" s="6" t="s">
        <v>138</v>
      </c>
      <c r="E264" s="6" t="s">
        <v>11</v>
      </c>
      <c r="F264" s="6">
        <v>2</v>
      </c>
      <c r="G264" s="6">
        <v>1228</v>
      </c>
    </row>
    <row r="265" s="2" customFormat="true" ht="22.5" customHeight="true" spans="1:7">
      <c r="A265" s="6">
        <f>263</f>
        <v>263</v>
      </c>
      <c r="B265" s="6" t="s">
        <v>307</v>
      </c>
      <c r="C265" s="6" t="s">
        <v>9</v>
      </c>
      <c r="D265" s="6" t="s">
        <v>280</v>
      </c>
      <c r="E265" s="6" t="s">
        <v>17</v>
      </c>
      <c r="F265" s="6">
        <v>2</v>
      </c>
      <c r="G265" s="6">
        <v>1238</v>
      </c>
    </row>
    <row r="266" s="2" customFormat="true" ht="22.5" customHeight="true" spans="1:7">
      <c r="A266" s="6">
        <f>264</f>
        <v>264</v>
      </c>
      <c r="B266" s="6" t="s">
        <v>308</v>
      </c>
      <c r="C266" s="6" t="s">
        <v>9</v>
      </c>
      <c r="D266" s="6" t="s">
        <v>270</v>
      </c>
      <c r="E266" s="6" t="s">
        <v>17</v>
      </c>
      <c r="F266" s="6">
        <v>2</v>
      </c>
      <c r="G266" s="6">
        <v>1266</v>
      </c>
    </row>
    <row r="267" s="2" customFormat="true" ht="22.5" customHeight="true" spans="1:7">
      <c r="A267" s="6">
        <f>265</f>
        <v>265</v>
      </c>
      <c r="B267" s="6" t="s">
        <v>309</v>
      </c>
      <c r="C267" s="6" t="s">
        <v>9</v>
      </c>
      <c r="D267" s="6" t="s">
        <v>136</v>
      </c>
      <c r="E267" s="6" t="s">
        <v>17</v>
      </c>
      <c r="F267" s="6">
        <v>1</v>
      </c>
      <c r="G267" s="6">
        <v>622</v>
      </c>
    </row>
    <row r="268" s="2" customFormat="true" ht="22.5" customHeight="true" spans="1:7">
      <c r="A268" s="6">
        <f>266</f>
        <v>266</v>
      </c>
      <c r="B268" s="6" t="s">
        <v>310</v>
      </c>
      <c r="C268" s="6" t="s">
        <v>9</v>
      </c>
      <c r="D268" s="6" t="s">
        <v>169</v>
      </c>
      <c r="E268" s="6" t="s">
        <v>17</v>
      </c>
      <c r="F268" s="6">
        <v>1</v>
      </c>
      <c r="G268" s="6">
        <v>607</v>
      </c>
    </row>
    <row r="269" s="2" customFormat="true" ht="22.5" customHeight="true" spans="1:7">
      <c r="A269" s="6">
        <f>267</f>
        <v>267</v>
      </c>
      <c r="B269" s="6" t="s">
        <v>311</v>
      </c>
      <c r="C269" s="6" t="s">
        <v>15</v>
      </c>
      <c r="D269" s="6" t="s">
        <v>185</v>
      </c>
      <c r="E269" s="6" t="s">
        <v>11</v>
      </c>
      <c r="F269" s="6">
        <v>1</v>
      </c>
      <c r="G269" s="6">
        <v>594</v>
      </c>
    </row>
    <row r="270" s="2" customFormat="true" ht="22.5" customHeight="true" spans="1:7">
      <c r="A270" s="6">
        <f>268</f>
        <v>268</v>
      </c>
      <c r="B270" s="6" t="s">
        <v>312</v>
      </c>
      <c r="C270" s="6" t="s">
        <v>9</v>
      </c>
      <c r="D270" s="6" t="s">
        <v>161</v>
      </c>
      <c r="E270" s="6" t="s">
        <v>11</v>
      </c>
      <c r="F270" s="6">
        <v>1</v>
      </c>
      <c r="G270" s="6">
        <v>606</v>
      </c>
    </row>
    <row r="271" s="2" customFormat="true" ht="22.5" customHeight="true" spans="1:7">
      <c r="A271" s="6">
        <f>269</f>
        <v>269</v>
      </c>
      <c r="B271" s="6" t="s">
        <v>313</v>
      </c>
      <c r="C271" s="6" t="s">
        <v>9</v>
      </c>
      <c r="D271" s="6" t="s">
        <v>209</v>
      </c>
      <c r="E271" s="6" t="s">
        <v>11</v>
      </c>
      <c r="F271" s="6">
        <v>3</v>
      </c>
      <c r="G271" s="6">
        <v>1631</v>
      </c>
    </row>
    <row r="272" s="2" customFormat="true" ht="22.5" customHeight="true" spans="1:7">
      <c r="A272" s="6">
        <f>270</f>
        <v>270</v>
      </c>
      <c r="B272" s="6" t="s">
        <v>314</v>
      </c>
      <c r="C272" s="6" t="s">
        <v>9</v>
      </c>
      <c r="D272" s="6" t="s">
        <v>13</v>
      </c>
      <c r="E272" s="6" t="s">
        <v>17</v>
      </c>
      <c r="F272" s="6">
        <v>4</v>
      </c>
      <c r="G272" s="6">
        <v>2470</v>
      </c>
    </row>
    <row r="273" s="2" customFormat="true" ht="22.5" customHeight="true" spans="1:7">
      <c r="A273" s="6">
        <f>271</f>
        <v>271</v>
      </c>
      <c r="B273" s="6" t="s">
        <v>315</v>
      </c>
      <c r="C273" s="6" t="s">
        <v>9</v>
      </c>
      <c r="D273" s="6" t="s">
        <v>49</v>
      </c>
      <c r="E273" s="6" t="s">
        <v>11</v>
      </c>
      <c r="F273" s="6">
        <v>1</v>
      </c>
      <c r="G273" s="6">
        <v>614</v>
      </c>
    </row>
    <row r="274" s="2" customFormat="true" ht="22.5" customHeight="true" spans="1:7">
      <c r="A274" s="6">
        <f>272</f>
        <v>272</v>
      </c>
      <c r="B274" s="6" t="s">
        <v>316</v>
      </c>
      <c r="C274" s="6" t="s">
        <v>15</v>
      </c>
      <c r="D274" s="6" t="s">
        <v>169</v>
      </c>
      <c r="E274" s="6" t="s">
        <v>11</v>
      </c>
      <c r="F274" s="6">
        <v>1</v>
      </c>
      <c r="G274" s="6">
        <v>629</v>
      </c>
    </row>
    <row r="275" s="2" customFormat="true" ht="22.5" customHeight="true" spans="1:7">
      <c r="A275" s="6">
        <f>273</f>
        <v>273</v>
      </c>
      <c r="B275" s="6" t="s">
        <v>317</v>
      </c>
      <c r="C275" s="6" t="s">
        <v>9</v>
      </c>
      <c r="D275" s="6" t="s">
        <v>13</v>
      </c>
      <c r="E275" s="6" t="s">
        <v>11</v>
      </c>
      <c r="F275" s="6">
        <v>2</v>
      </c>
      <c r="G275" s="6">
        <v>1218</v>
      </c>
    </row>
    <row r="276" s="2" customFormat="true" ht="22.5" customHeight="true" spans="1:7">
      <c r="A276" s="6">
        <f>274</f>
        <v>274</v>
      </c>
      <c r="B276" s="6" t="s">
        <v>318</v>
      </c>
      <c r="C276" s="6" t="s">
        <v>9</v>
      </c>
      <c r="D276" s="6" t="s">
        <v>104</v>
      </c>
      <c r="E276" s="6" t="s">
        <v>11</v>
      </c>
      <c r="F276" s="6">
        <v>1</v>
      </c>
      <c r="G276" s="6">
        <v>601</v>
      </c>
    </row>
    <row r="277" s="2" customFormat="true" ht="22.5" customHeight="true" spans="1:7">
      <c r="A277" s="6">
        <f>275</f>
        <v>275</v>
      </c>
      <c r="B277" s="6" t="s">
        <v>319</v>
      </c>
      <c r="C277" s="6" t="s">
        <v>9</v>
      </c>
      <c r="D277" s="6" t="s">
        <v>192</v>
      </c>
      <c r="E277" s="6" t="s">
        <v>11</v>
      </c>
      <c r="F277" s="6">
        <v>1</v>
      </c>
      <c r="G277" s="6">
        <v>648</v>
      </c>
    </row>
    <row r="278" s="2" customFormat="true" ht="22.5" customHeight="true" spans="1:7">
      <c r="A278" s="6">
        <f>276</f>
        <v>276</v>
      </c>
      <c r="B278" s="6" t="s">
        <v>320</v>
      </c>
      <c r="C278" s="6" t="s">
        <v>15</v>
      </c>
      <c r="D278" s="6" t="s">
        <v>209</v>
      </c>
      <c r="E278" s="6" t="s">
        <v>17</v>
      </c>
      <c r="F278" s="6">
        <v>1</v>
      </c>
      <c r="G278" s="6">
        <v>595</v>
      </c>
    </row>
    <row r="279" s="2" customFormat="true" ht="22.5" customHeight="true" spans="1:7">
      <c r="A279" s="6">
        <f>277</f>
        <v>277</v>
      </c>
      <c r="B279" s="6" t="s">
        <v>321</v>
      </c>
      <c r="C279" s="6" t="s">
        <v>15</v>
      </c>
      <c r="D279" s="6" t="s">
        <v>182</v>
      </c>
      <c r="E279" s="6" t="s">
        <v>11</v>
      </c>
      <c r="F279" s="6">
        <v>1</v>
      </c>
      <c r="G279" s="6">
        <v>624</v>
      </c>
    </row>
    <row r="280" s="2" customFormat="true" ht="22.5" customHeight="true" spans="1:7">
      <c r="A280" s="6">
        <f>278</f>
        <v>278</v>
      </c>
      <c r="B280" s="6" t="s">
        <v>322</v>
      </c>
      <c r="C280" s="6" t="s">
        <v>9</v>
      </c>
      <c r="D280" s="6" t="s">
        <v>13</v>
      </c>
      <c r="E280" s="6" t="s">
        <v>17</v>
      </c>
      <c r="F280" s="6">
        <v>3</v>
      </c>
      <c r="G280" s="6">
        <v>1843</v>
      </c>
    </row>
    <row r="281" s="2" customFormat="true" ht="22.5" customHeight="true" spans="1:7">
      <c r="A281" s="6">
        <f>279</f>
        <v>279</v>
      </c>
      <c r="B281" s="6" t="s">
        <v>228</v>
      </c>
      <c r="C281" s="6" t="s">
        <v>15</v>
      </c>
      <c r="D281" s="6" t="s">
        <v>185</v>
      </c>
      <c r="E281" s="6" t="s">
        <v>17</v>
      </c>
      <c r="F281" s="6">
        <v>1</v>
      </c>
      <c r="G281" s="6">
        <v>624</v>
      </c>
    </row>
    <row r="282" s="2" customFormat="true" ht="22.5" customHeight="true" spans="1:7">
      <c r="A282" s="6">
        <f>280</f>
        <v>280</v>
      </c>
      <c r="B282" s="6" t="s">
        <v>323</v>
      </c>
      <c r="C282" s="6" t="s">
        <v>9</v>
      </c>
      <c r="D282" s="6" t="s">
        <v>202</v>
      </c>
      <c r="E282" s="6" t="s">
        <v>11</v>
      </c>
      <c r="F282" s="6">
        <v>2</v>
      </c>
      <c r="G282" s="6">
        <v>1218</v>
      </c>
    </row>
    <row r="283" s="2" customFormat="true" ht="22.5" customHeight="true" spans="1:7">
      <c r="A283" s="6">
        <f>281</f>
        <v>281</v>
      </c>
      <c r="B283" s="6" t="s">
        <v>324</v>
      </c>
      <c r="C283" s="6" t="s">
        <v>9</v>
      </c>
      <c r="D283" s="6" t="s">
        <v>280</v>
      </c>
      <c r="E283" s="6" t="s">
        <v>17</v>
      </c>
      <c r="F283" s="6">
        <v>1</v>
      </c>
      <c r="G283" s="6">
        <v>627</v>
      </c>
    </row>
    <row r="284" s="2" customFormat="true" ht="22.5" customHeight="true" spans="1:7">
      <c r="A284" s="6">
        <f>282</f>
        <v>282</v>
      </c>
      <c r="B284" s="6" t="s">
        <v>325</v>
      </c>
      <c r="C284" s="6" t="s">
        <v>9</v>
      </c>
      <c r="D284" s="6" t="s">
        <v>13</v>
      </c>
      <c r="E284" s="6" t="s">
        <v>11</v>
      </c>
      <c r="F284" s="6">
        <v>2</v>
      </c>
      <c r="G284" s="6">
        <v>1218</v>
      </c>
    </row>
    <row r="285" s="2" customFormat="true" ht="22.5" customHeight="true" spans="1:7">
      <c r="A285" s="6">
        <f>283</f>
        <v>283</v>
      </c>
      <c r="B285" s="6" t="s">
        <v>326</v>
      </c>
      <c r="C285" s="6" t="s">
        <v>9</v>
      </c>
      <c r="D285" s="6" t="s">
        <v>209</v>
      </c>
      <c r="E285" s="6" t="s">
        <v>11</v>
      </c>
      <c r="F285" s="6">
        <v>2</v>
      </c>
      <c r="G285" s="6">
        <v>1238</v>
      </c>
    </row>
    <row r="286" s="2" customFormat="true" ht="22.5" customHeight="true" spans="1:7">
      <c r="A286" s="6">
        <f>284</f>
        <v>284</v>
      </c>
      <c r="B286" s="6" t="s">
        <v>327</v>
      </c>
      <c r="C286" s="6" t="s">
        <v>9</v>
      </c>
      <c r="D286" s="6" t="s">
        <v>185</v>
      </c>
      <c r="E286" s="6" t="s">
        <v>17</v>
      </c>
      <c r="F286" s="6">
        <v>1</v>
      </c>
      <c r="G286" s="6">
        <v>690</v>
      </c>
    </row>
    <row r="287" s="2" customFormat="true" ht="22.5" customHeight="true" spans="1:7">
      <c r="A287" s="6">
        <f>285</f>
        <v>285</v>
      </c>
      <c r="B287" s="6" t="s">
        <v>328</v>
      </c>
      <c r="C287" s="6" t="s">
        <v>15</v>
      </c>
      <c r="D287" s="6" t="s">
        <v>16</v>
      </c>
      <c r="E287" s="6" t="s">
        <v>17</v>
      </c>
      <c r="F287" s="6">
        <v>1</v>
      </c>
      <c r="G287" s="6">
        <v>729</v>
      </c>
    </row>
    <row r="288" s="2" customFormat="true" ht="22.5" customHeight="true" spans="1:7">
      <c r="A288" s="6">
        <f>286</f>
        <v>286</v>
      </c>
      <c r="B288" s="6" t="s">
        <v>329</v>
      </c>
      <c r="C288" s="6" t="s">
        <v>9</v>
      </c>
      <c r="D288" s="6" t="s">
        <v>182</v>
      </c>
      <c r="E288" s="6" t="s">
        <v>11</v>
      </c>
      <c r="F288" s="6">
        <v>1</v>
      </c>
      <c r="G288" s="6">
        <v>601</v>
      </c>
    </row>
    <row r="289" s="2" customFormat="true" ht="22.5" customHeight="true" spans="1:7">
      <c r="A289" s="6">
        <f>287</f>
        <v>287</v>
      </c>
      <c r="B289" s="6" t="s">
        <v>330</v>
      </c>
      <c r="C289" s="6" t="s">
        <v>9</v>
      </c>
      <c r="D289" s="6" t="s">
        <v>202</v>
      </c>
      <c r="E289" s="6" t="s">
        <v>11</v>
      </c>
      <c r="F289" s="6">
        <v>1</v>
      </c>
      <c r="G289" s="6">
        <v>609</v>
      </c>
    </row>
    <row r="290" s="2" customFormat="true" ht="22.5" customHeight="true" spans="1:7">
      <c r="A290" s="6">
        <f>288</f>
        <v>288</v>
      </c>
      <c r="B290" s="6" t="s">
        <v>331</v>
      </c>
      <c r="C290" s="6" t="s">
        <v>15</v>
      </c>
      <c r="D290" s="6" t="s">
        <v>117</v>
      </c>
      <c r="E290" s="6" t="s">
        <v>11</v>
      </c>
      <c r="F290" s="6">
        <v>1</v>
      </c>
      <c r="G290" s="6">
        <v>658</v>
      </c>
    </row>
    <row r="291" s="2" customFormat="true" ht="22.5" customHeight="true" spans="1:7">
      <c r="A291" s="6">
        <f>289</f>
        <v>289</v>
      </c>
      <c r="B291" s="6" t="s">
        <v>332</v>
      </c>
      <c r="C291" s="6" t="s">
        <v>9</v>
      </c>
      <c r="D291" s="6" t="s">
        <v>49</v>
      </c>
      <c r="E291" s="6" t="s">
        <v>17</v>
      </c>
      <c r="F291" s="6">
        <v>2</v>
      </c>
      <c r="G291" s="6">
        <v>1254</v>
      </c>
    </row>
    <row r="292" s="2" customFormat="true" ht="22.5" customHeight="true" spans="1:7">
      <c r="A292" s="6">
        <f>290</f>
        <v>290</v>
      </c>
      <c r="B292" s="6" t="s">
        <v>333</v>
      </c>
      <c r="C292" s="6" t="s">
        <v>9</v>
      </c>
      <c r="D292" s="6" t="s">
        <v>222</v>
      </c>
      <c r="E292" s="6" t="s">
        <v>17</v>
      </c>
      <c r="F292" s="6">
        <v>1</v>
      </c>
      <c r="G292" s="6">
        <v>614</v>
      </c>
    </row>
    <row r="293" s="2" customFormat="true" ht="22.5" customHeight="true" spans="1:7">
      <c r="A293" s="6">
        <f>291</f>
        <v>291</v>
      </c>
      <c r="B293" s="6" t="s">
        <v>334</v>
      </c>
      <c r="C293" s="6" t="s">
        <v>15</v>
      </c>
      <c r="D293" s="6" t="s">
        <v>13</v>
      </c>
      <c r="E293" s="6" t="s">
        <v>11</v>
      </c>
      <c r="F293" s="6">
        <v>1</v>
      </c>
      <c r="G293" s="6">
        <v>609</v>
      </c>
    </row>
    <row r="294" s="2" customFormat="true" ht="22.5" customHeight="true" spans="1:7">
      <c r="A294" s="6">
        <f>292</f>
        <v>292</v>
      </c>
      <c r="B294" s="6" t="s">
        <v>335</v>
      </c>
      <c r="C294" s="6" t="s">
        <v>9</v>
      </c>
      <c r="D294" s="6" t="s">
        <v>146</v>
      </c>
      <c r="E294" s="6" t="s">
        <v>11</v>
      </c>
      <c r="F294" s="6">
        <v>1</v>
      </c>
      <c r="G294" s="6">
        <v>612</v>
      </c>
    </row>
    <row r="295" s="2" customFormat="true" ht="22.5" customHeight="true" spans="1:7">
      <c r="A295" s="6">
        <f>293</f>
        <v>293</v>
      </c>
      <c r="B295" s="6" t="s">
        <v>336</v>
      </c>
      <c r="C295" s="6" t="s">
        <v>9</v>
      </c>
      <c r="D295" s="6" t="s">
        <v>202</v>
      </c>
      <c r="E295" s="6" t="s">
        <v>11</v>
      </c>
      <c r="F295" s="6">
        <v>1</v>
      </c>
      <c r="G295" s="6">
        <v>606</v>
      </c>
    </row>
    <row r="296" s="2" customFormat="true" ht="22.5" customHeight="true" spans="1:7">
      <c r="A296" s="6">
        <f>294</f>
        <v>294</v>
      </c>
      <c r="B296" s="6" t="s">
        <v>337</v>
      </c>
      <c r="C296" s="6" t="s">
        <v>15</v>
      </c>
      <c r="D296" s="6" t="s">
        <v>202</v>
      </c>
      <c r="E296" s="6" t="s">
        <v>11</v>
      </c>
      <c r="F296" s="6">
        <v>1</v>
      </c>
      <c r="G296" s="6">
        <v>606</v>
      </c>
    </row>
    <row r="297" s="2" customFormat="true" ht="22.5" customHeight="true" spans="1:7">
      <c r="A297" s="6">
        <f>295</f>
        <v>295</v>
      </c>
      <c r="B297" s="6" t="s">
        <v>338</v>
      </c>
      <c r="C297" s="6" t="s">
        <v>9</v>
      </c>
      <c r="D297" s="6" t="s">
        <v>209</v>
      </c>
      <c r="E297" s="6" t="s">
        <v>17</v>
      </c>
      <c r="F297" s="6">
        <v>3</v>
      </c>
      <c r="G297" s="6">
        <v>1882</v>
      </c>
    </row>
    <row r="298" s="2" customFormat="true" ht="22.5" customHeight="true" spans="1:7">
      <c r="A298" s="6">
        <f>296</f>
        <v>296</v>
      </c>
      <c r="B298" s="6" t="s">
        <v>339</v>
      </c>
      <c r="C298" s="6" t="s">
        <v>15</v>
      </c>
      <c r="D298" s="6" t="s">
        <v>136</v>
      </c>
      <c r="E298" s="6" t="s">
        <v>11</v>
      </c>
      <c r="F298" s="6">
        <v>1</v>
      </c>
      <c r="G298" s="6">
        <v>675</v>
      </c>
    </row>
    <row r="299" s="2" customFormat="true" ht="22.5" customHeight="true" spans="1:7">
      <c r="A299" s="6">
        <f>297</f>
        <v>297</v>
      </c>
      <c r="B299" s="6" t="s">
        <v>52</v>
      </c>
      <c r="C299" s="6" t="s">
        <v>15</v>
      </c>
      <c r="D299" s="6" t="s">
        <v>182</v>
      </c>
      <c r="E299" s="6" t="s">
        <v>17</v>
      </c>
      <c r="F299" s="6">
        <v>1</v>
      </c>
      <c r="G299" s="6">
        <v>637</v>
      </c>
    </row>
    <row r="300" s="2" customFormat="true" ht="22.5" customHeight="true" spans="1:7">
      <c r="A300" s="6">
        <f>298</f>
        <v>298</v>
      </c>
      <c r="B300" s="6" t="s">
        <v>340</v>
      </c>
      <c r="C300" s="6" t="s">
        <v>9</v>
      </c>
      <c r="D300" s="6" t="s">
        <v>143</v>
      </c>
      <c r="E300" s="6" t="s">
        <v>11</v>
      </c>
      <c r="F300" s="6">
        <v>1</v>
      </c>
      <c r="G300" s="6">
        <v>624</v>
      </c>
    </row>
    <row r="301" s="2" customFormat="true" ht="22.5" customHeight="true" spans="1:7">
      <c r="A301" s="6">
        <f>299</f>
        <v>299</v>
      </c>
      <c r="B301" s="6" t="s">
        <v>341</v>
      </c>
      <c r="C301" s="6" t="s">
        <v>9</v>
      </c>
      <c r="D301" s="6" t="s">
        <v>146</v>
      </c>
      <c r="E301" s="6" t="s">
        <v>11</v>
      </c>
      <c r="F301" s="6">
        <v>1</v>
      </c>
      <c r="G301" s="6">
        <v>711</v>
      </c>
    </row>
    <row r="302" s="2" customFormat="true" ht="22.5" customHeight="true" spans="1:7">
      <c r="A302" s="6">
        <f>300</f>
        <v>300</v>
      </c>
      <c r="B302" s="6" t="s">
        <v>342</v>
      </c>
      <c r="C302" s="6" t="s">
        <v>9</v>
      </c>
      <c r="D302" s="6" t="s">
        <v>270</v>
      </c>
      <c r="E302" s="6" t="s">
        <v>17</v>
      </c>
      <c r="F302" s="6">
        <v>2</v>
      </c>
      <c r="G302" s="6">
        <v>1266</v>
      </c>
    </row>
    <row r="303" s="2" customFormat="true" ht="22.5" customHeight="true" spans="1:7">
      <c r="A303" s="6">
        <f>301</f>
        <v>301</v>
      </c>
      <c r="B303" s="6" t="s">
        <v>343</v>
      </c>
      <c r="C303" s="6" t="s">
        <v>15</v>
      </c>
      <c r="D303" s="6" t="s">
        <v>16</v>
      </c>
      <c r="E303" s="6" t="s">
        <v>11</v>
      </c>
      <c r="F303" s="6">
        <v>3</v>
      </c>
      <c r="G303" s="6">
        <v>1564</v>
      </c>
    </row>
    <row r="304" s="2" customFormat="true" ht="22.5" customHeight="true" spans="1:7">
      <c r="A304" s="6">
        <f>302</f>
        <v>302</v>
      </c>
      <c r="B304" s="6" t="s">
        <v>344</v>
      </c>
      <c r="C304" s="6" t="s">
        <v>9</v>
      </c>
      <c r="D304" s="6" t="s">
        <v>136</v>
      </c>
      <c r="E304" s="6" t="s">
        <v>17</v>
      </c>
      <c r="F304" s="6">
        <v>2</v>
      </c>
      <c r="G304" s="6">
        <v>1162</v>
      </c>
    </row>
    <row r="305" s="2" customFormat="true" ht="22.5" customHeight="true" spans="1:7">
      <c r="A305" s="6">
        <f>303</f>
        <v>303</v>
      </c>
      <c r="B305" s="6" t="s">
        <v>345</v>
      </c>
      <c r="C305" s="6" t="s">
        <v>9</v>
      </c>
      <c r="D305" s="6" t="s">
        <v>49</v>
      </c>
      <c r="E305" s="6" t="s">
        <v>17</v>
      </c>
      <c r="F305" s="6">
        <v>1</v>
      </c>
      <c r="G305" s="6">
        <v>597</v>
      </c>
    </row>
    <row r="306" s="2" customFormat="true" ht="22.5" customHeight="true" spans="1:7">
      <c r="A306" s="6">
        <f>304</f>
        <v>304</v>
      </c>
      <c r="B306" s="6" t="s">
        <v>346</v>
      </c>
      <c r="C306" s="6" t="s">
        <v>15</v>
      </c>
      <c r="D306" s="6" t="s">
        <v>169</v>
      </c>
      <c r="E306" s="6" t="s">
        <v>11</v>
      </c>
      <c r="F306" s="6">
        <v>2</v>
      </c>
      <c r="G306" s="6">
        <v>1025</v>
      </c>
    </row>
    <row r="307" s="2" customFormat="true" ht="22.5" customHeight="true" spans="1:7">
      <c r="A307" s="6">
        <f>305</f>
        <v>305</v>
      </c>
      <c r="B307" s="6" t="s">
        <v>347</v>
      </c>
      <c r="C307" s="6" t="s">
        <v>9</v>
      </c>
      <c r="D307" s="6" t="s">
        <v>49</v>
      </c>
      <c r="E307" s="6" t="s">
        <v>11</v>
      </c>
      <c r="F307" s="6">
        <v>1</v>
      </c>
      <c r="G307" s="6">
        <v>596</v>
      </c>
    </row>
    <row r="308" s="2" customFormat="true" ht="22.5" customHeight="true" spans="1:7">
      <c r="A308" s="6">
        <f>306</f>
        <v>306</v>
      </c>
      <c r="B308" s="6" t="s">
        <v>348</v>
      </c>
      <c r="C308" s="6" t="s">
        <v>9</v>
      </c>
      <c r="D308" s="6" t="s">
        <v>49</v>
      </c>
      <c r="E308" s="6" t="s">
        <v>11</v>
      </c>
      <c r="F308" s="6">
        <v>2</v>
      </c>
      <c r="G308" s="6">
        <v>1218</v>
      </c>
    </row>
    <row r="309" s="2" customFormat="true" ht="22.5" customHeight="true" spans="1:7">
      <c r="A309" s="6">
        <f>307</f>
        <v>307</v>
      </c>
      <c r="B309" s="6" t="s">
        <v>349</v>
      </c>
      <c r="C309" s="6" t="s">
        <v>9</v>
      </c>
      <c r="D309" s="6" t="s">
        <v>49</v>
      </c>
      <c r="E309" s="6" t="s">
        <v>17</v>
      </c>
      <c r="F309" s="6">
        <v>2</v>
      </c>
      <c r="G309" s="6">
        <v>1366</v>
      </c>
    </row>
    <row r="310" s="2" customFormat="true" ht="22.5" customHeight="true" spans="1:7">
      <c r="A310" s="6">
        <f>308</f>
        <v>308</v>
      </c>
      <c r="B310" s="6" t="s">
        <v>350</v>
      </c>
      <c r="C310" s="6" t="s">
        <v>9</v>
      </c>
      <c r="D310" s="6" t="s">
        <v>239</v>
      </c>
      <c r="E310" s="6" t="s">
        <v>17</v>
      </c>
      <c r="F310" s="6">
        <v>1</v>
      </c>
      <c r="G310" s="6">
        <v>642</v>
      </c>
    </row>
    <row r="311" s="2" customFormat="true" ht="22.5" customHeight="true" spans="1:7">
      <c r="A311" s="6">
        <f>309</f>
        <v>309</v>
      </c>
      <c r="B311" s="6" t="s">
        <v>351</v>
      </c>
      <c r="C311" s="6" t="s">
        <v>9</v>
      </c>
      <c r="D311" s="6" t="s">
        <v>117</v>
      </c>
      <c r="E311" s="6" t="s">
        <v>11</v>
      </c>
      <c r="F311" s="6">
        <v>2</v>
      </c>
      <c r="G311" s="6">
        <v>1162</v>
      </c>
    </row>
    <row r="312" s="2" customFormat="true" ht="22.5" customHeight="true" spans="1:7">
      <c r="A312" s="6">
        <f>310</f>
        <v>310</v>
      </c>
      <c r="B312" s="6" t="s">
        <v>352</v>
      </c>
      <c r="C312" s="6" t="s">
        <v>9</v>
      </c>
      <c r="D312" s="6" t="s">
        <v>49</v>
      </c>
      <c r="E312" s="6" t="s">
        <v>17</v>
      </c>
      <c r="F312" s="6">
        <v>1</v>
      </c>
      <c r="G312" s="6">
        <v>672</v>
      </c>
    </row>
    <row r="313" s="2" customFormat="true" ht="22.5" customHeight="true" spans="1:7">
      <c r="A313" s="6">
        <f>311</f>
        <v>311</v>
      </c>
      <c r="B313" s="6" t="s">
        <v>353</v>
      </c>
      <c r="C313" s="6" t="s">
        <v>15</v>
      </c>
      <c r="D313" s="6" t="s">
        <v>27</v>
      </c>
      <c r="E313" s="6" t="s">
        <v>17</v>
      </c>
      <c r="F313" s="6">
        <v>1</v>
      </c>
      <c r="G313" s="6">
        <v>656</v>
      </c>
    </row>
    <row r="314" s="2" customFormat="true" ht="22.5" customHeight="true" spans="1:7">
      <c r="A314" s="6">
        <f>312</f>
        <v>312</v>
      </c>
      <c r="B314" s="6" t="s">
        <v>354</v>
      </c>
      <c r="C314" s="6" t="s">
        <v>15</v>
      </c>
      <c r="D314" s="6" t="s">
        <v>209</v>
      </c>
      <c r="E314" s="6" t="s">
        <v>11</v>
      </c>
      <c r="F314" s="6">
        <v>1</v>
      </c>
      <c r="G314" s="6">
        <v>609</v>
      </c>
    </row>
    <row r="315" s="2" customFormat="true" ht="22.5" customHeight="true" spans="1:7">
      <c r="A315" s="6">
        <f>313</f>
        <v>313</v>
      </c>
      <c r="B315" s="6" t="s">
        <v>355</v>
      </c>
      <c r="C315" s="6" t="s">
        <v>15</v>
      </c>
      <c r="D315" s="6" t="s">
        <v>49</v>
      </c>
      <c r="E315" s="6" t="s">
        <v>17</v>
      </c>
      <c r="F315" s="6">
        <v>2</v>
      </c>
      <c r="G315" s="6">
        <v>1224</v>
      </c>
    </row>
    <row r="316" s="2" customFormat="true" ht="22.5" customHeight="true" spans="1:7">
      <c r="A316" s="6">
        <f>314</f>
        <v>314</v>
      </c>
      <c r="B316" s="6" t="s">
        <v>356</v>
      </c>
      <c r="C316" s="6" t="s">
        <v>9</v>
      </c>
      <c r="D316" s="6" t="s">
        <v>117</v>
      </c>
      <c r="E316" s="6" t="s">
        <v>17</v>
      </c>
      <c r="F316" s="6">
        <v>2</v>
      </c>
      <c r="G316" s="6">
        <v>1264</v>
      </c>
    </row>
    <row r="317" s="2" customFormat="true" ht="22.5" customHeight="true" spans="1:7">
      <c r="A317" s="6">
        <f>315</f>
        <v>315</v>
      </c>
      <c r="B317" s="6" t="s">
        <v>357</v>
      </c>
      <c r="C317" s="6" t="s">
        <v>15</v>
      </c>
      <c r="D317" s="6" t="s">
        <v>49</v>
      </c>
      <c r="E317" s="6" t="s">
        <v>11</v>
      </c>
      <c r="F317" s="6">
        <v>1</v>
      </c>
      <c r="G317" s="6">
        <v>581</v>
      </c>
    </row>
    <row r="318" s="2" customFormat="true" ht="22.5" customHeight="true" spans="1:7">
      <c r="A318" s="6">
        <f>316</f>
        <v>316</v>
      </c>
      <c r="B318" s="6" t="s">
        <v>358</v>
      </c>
      <c r="C318" s="6" t="s">
        <v>9</v>
      </c>
      <c r="D318" s="6" t="s">
        <v>49</v>
      </c>
      <c r="E318" s="6" t="s">
        <v>11</v>
      </c>
      <c r="F318" s="6">
        <v>2</v>
      </c>
      <c r="G318" s="6">
        <v>1212</v>
      </c>
    </row>
    <row r="319" s="2" customFormat="true" ht="22.5" customHeight="true" spans="1:7">
      <c r="A319" s="6">
        <f>317</f>
        <v>317</v>
      </c>
      <c r="B319" s="6" t="s">
        <v>359</v>
      </c>
      <c r="C319" s="6" t="s">
        <v>15</v>
      </c>
      <c r="D319" s="6" t="s">
        <v>67</v>
      </c>
      <c r="E319" s="6" t="s">
        <v>17</v>
      </c>
      <c r="F319" s="6">
        <v>1</v>
      </c>
      <c r="G319" s="6">
        <v>656</v>
      </c>
    </row>
    <row r="320" s="2" customFormat="true" ht="22.5" customHeight="true" spans="1:7">
      <c r="A320" s="6">
        <f>318</f>
        <v>318</v>
      </c>
      <c r="B320" s="6" t="s">
        <v>360</v>
      </c>
      <c r="C320" s="6" t="s">
        <v>9</v>
      </c>
      <c r="D320" s="6" t="s">
        <v>270</v>
      </c>
      <c r="E320" s="6" t="s">
        <v>11</v>
      </c>
      <c r="F320" s="6">
        <v>1</v>
      </c>
      <c r="G320" s="6">
        <v>624</v>
      </c>
    </row>
    <row r="321" s="2" customFormat="true" ht="22.5" customHeight="true" spans="1:7">
      <c r="A321" s="6">
        <f>319</f>
        <v>319</v>
      </c>
      <c r="B321" s="6" t="s">
        <v>361</v>
      </c>
      <c r="C321" s="6" t="s">
        <v>15</v>
      </c>
      <c r="D321" s="6" t="s">
        <v>182</v>
      </c>
      <c r="E321" s="6" t="s">
        <v>11</v>
      </c>
      <c r="F321" s="6">
        <v>1</v>
      </c>
      <c r="G321" s="6">
        <v>594</v>
      </c>
    </row>
    <row r="322" s="2" customFormat="true" ht="22.5" customHeight="true" spans="1:7">
      <c r="A322" s="6">
        <f>320</f>
        <v>320</v>
      </c>
      <c r="B322" s="6" t="s">
        <v>362</v>
      </c>
      <c r="C322" s="6" t="s">
        <v>9</v>
      </c>
      <c r="D322" s="6" t="s">
        <v>164</v>
      </c>
      <c r="E322" s="6" t="s">
        <v>17</v>
      </c>
      <c r="F322" s="6">
        <v>1</v>
      </c>
      <c r="G322" s="6">
        <v>711</v>
      </c>
    </row>
    <row r="323" s="2" customFormat="true" ht="22.5" customHeight="true" spans="1:7">
      <c r="A323" s="6">
        <f>321</f>
        <v>321</v>
      </c>
      <c r="B323" s="6" t="s">
        <v>363</v>
      </c>
      <c r="C323" s="6" t="s">
        <v>15</v>
      </c>
      <c r="D323" s="6" t="s">
        <v>13</v>
      </c>
      <c r="E323" s="6" t="s">
        <v>11</v>
      </c>
      <c r="F323" s="6">
        <v>1</v>
      </c>
      <c r="G323" s="6">
        <v>597</v>
      </c>
    </row>
    <row r="324" s="2" customFormat="true" ht="22.5" customHeight="true" spans="1:7">
      <c r="A324" s="6">
        <f>322</f>
        <v>322</v>
      </c>
      <c r="B324" s="6" t="s">
        <v>364</v>
      </c>
      <c r="C324" s="6" t="s">
        <v>9</v>
      </c>
      <c r="D324" s="6" t="s">
        <v>67</v>
      </c>
      <c r="E324" s="6" t="s">
        <v>11</v>
      </c>
      <c r="F324" s="6">
        <v>1</v>
      </c>
      <c r="G324" s="6">
        <v>624</v>
      </c>
    </row>
    <row r="325" s="2" customFormat="true" ht="22.5" customHeight="true" spans="1:7">
      <c r="A325" s="6">
        <f>323</f>
        <v>323</v>
      </c>
      <c r="B325" s="6" t="s">
        <v>365</v>
      </c>
      <c r="C325" s="6" t="s">
        <v>9</v>
      </c>
      <c r="D325" s="6" t="s">
        <v>149</v>
      </c>
      <c r="E325" s="6" t="s">
        <v>11</v>
      </c>
      <c r="F325" s="6">
        <v>1</v>
      </c>
      <c r="G325" s="6">
        <v>639</v>
      </c>
    </row>
    <row r="326" s="2" customFormat="true" ht="22.5" customHeight="true" spans="1:7">
      <c r="A326" s="6">
        <f>324</f>
        <v>324</v>
      </c>
      <c r="B326" s="6" t="s">
        <v>366</v>
      </c>
      <c r="C326" s="6" t="s">
        <v>9</v>
      </c>
      <c r="D326" s="6" t="s">
        <v>169</v>
      </c>
      <c r="E326" s="6" t="s">
        <v>17</v>
      </c>
      <c r="F326" s="6">
        <v>2</v>
      </c>
      <c r="G326" s="6">
        <v>1191</v>
      </c>
    </row>
    <row r="327" s="2" customFormat="true" ht="22.5" customHeight="true" spans="1:7">
      <c r="A327" s="6">
        <f>325</f>
        <v>325</v>
      </c>
      <c r="B327" s="6" t="s">
        <v>367</v>
      </c>
      <c r="C327" s="6" t="s">
        <v>15</v>
      </c>
      <c r="D327" s="6" t="s">
        <v>280</v>
      </c>
      <c r="E327" s="6" t="s">
        <v>17</v>
      </c>
      <c r="F327" s="6">
        <v>1</v>
      </c>
      <c r="G327" s="6">
        <v>619</v>
      </c>
    </row>
    <row r="328" s="2" customFormat="true" ht="22.5" customHeight="true" spans="1:7">
      <c r="A328" s="6">
        <f>326</f>
        <v>326</v>
      </c>
      <c r="B328" s="6" t="s">
        <v>368</v>
      </c>
      <c r="C328" s="6" t="s">
        <v>9</v>
      </c>
      <c r="D328" s="6" t="s">
        <v>164</v>
      </c>
      <c r="E328" s="6" t="s">
        <v>17</v>
      </c>
      <c r="F328" s="6">
        <v>2</v>
      </c>
      <c r="G328" s="6">
        <v>1256</v>
      </c>
    </row>
    <row r="329" s="2" customFormat="true" ht="22.5" customHeight="true" spans="1:7">
      <c r="A329" s="6">
        <f>327</f>
        <v>327</v>
      </c>
      <c r="B329" s="6" t="s">
        <v>369</v>
      </c>
      <c r="C329" s="6" t="s">
        <v>9</v>
      </c>
      <c r="D329" s="6" t="s">
        <v>202</v>
      </c>
      <c r="E329" s="6" t="s">
        <v>11</v>
      </c>
      <c r="F329" s="6">
        <v>2</v>
      </c>
      <c r="G329" s="6">
        <v>1212</v>
      </c>
    </row>
    <row r="330" s="2" customFormat="true" ht="22.5" customHeight="true" spans="1:7">
      <c r="A330" s="6">
        <f>328</f>
        <v>328</v>
      </c>
      <c r="B330" s="6" t="s">
        <v>370</v>
      </c>
      <c r="C330" s="6" t="s">
        <v>9</v>
      </c>
      <c r="D330" s="6" t="s">
        <v>280</v>
      </c>
      <c r="E330" s="6" t="s">
        <v>17</v>
      </c>
      <c r="F330" s="6">
        <v>2</v>
      </c>
      <c r="G330" s="6">
        <v>1212</v>
      </c>
    </row>
    <row r="331" s="2" customFormat="true" ht="22.5" customHeight="true" spans="1:7">
      <c r="A331" s="6">
        <f>329</f>
        <v>329</v>
      </c>
      <c r="B331" s="6" t="s">
        <v>371</v>
      </c>
      <c r="C331" s="6" t="s">
        <v>9</v>
      </c>
      <c r="D331" s="6" t="s">
        <v>209</v>
      </c>
      <c r="E331" s="6" t="s">
        <v>11</v>
      </c>
      <c r="F331" s="6">
        <v>2</v>
      </c>
      <c r="G331" s="6">
        <v>1156</v>
      </c>
    </row>
    <row r="332" s="2" customFormat="true" ht="22.5" customHeight="true" spans="1:7">
      <c r="A332" s="6">
        <f>330</f>
        <v>330</v>
      </c>
      <c r="B332" s="6" t="s">
        <v>372</v>
      </c>
      <c r="C332" s="6" t="s">
        <v>9</v>
      </c>
      <c r="D332" s="6" t="s">
        <v>13</v>
      </c>
      <c r="E332" s="6" t="s">
        <v>17</v>
      </c>
      <c r="F332" s="6">
        <v>2</v>
      </c>
      <c r="G332" s="6">
        <v>1144</v>
      </c>
    </row>
    <row r="333" s="2" customFormat="true" ht="22.5" customHeight="true" spans="1:7">
      <c r="A333" s="6">
        <f>331</f>
        <v>331</v>
      </c>
      <c r="B333" s="6" t="s">
        <v>373</v>
      </c>
      <c r="C333" s="6" t="s">
        <v>15</v>
      </c>
      <c r="D333" s="6" t="s">
        <v>209</v>
      </c>
      <c r="E333" s="6" t="s">
        <v>17</v>
      </c>
      <c r="F333" s="6">
        <v>2</v>
      </c>
      <c r="G333" s="6">
        <v>1236</v>
      </c>
    </row>
    <row r="334" s="2" customFormat="true" ht="22.5" customHeight="true" spans="1:7">
      <c r="A334" s="6">
        <f>332</f>
        <v>332</v>
      </c>
      <c r="B334" s="6" t="s">
        <v>374</v>
      </c>
      <c r="C334" s="6" t="s">
        <v>15</v>
      </c>
      <c r="D334" s="6" t="s">
        <v>16</v>
      </c>
      <c r="E334" s="6" t="s">
        <v>17</v>
      </c>
      <c r="F334" s="6">
        <v>2</v>
      </c>
      <c r="G334" s="6">
        <v>1304</v>
      </c>
    </row>
    <row r="335" s="2" customFormat="true" ht="22.5" customHeight="true" spans="1:7">
      <c r="A335" s="6">
        <f>333</f>
        <v>333</v>
      </c>
      <c r="B335" s="6" t="s">
        <v>375</v>
      </c>
      <c r="C335" s="6" t="s">
        <v>9</v>
      </c>
      <c r="D335" s="6" t="s">
        <v>169</v>
      </c>
      <c r="E335" s="6" t="s">
        <v>11</v>
      </c>
      <c r="F335" s="6">
        <v>1</v>
      </c>
      <c r="G335" s="6">
        <v>619</v>
      </c>
    </row>
    <row r="336" s="2" customFormat="true" ht="22.5" customHeight="true" spans="1:7">
      <c r="A336" s="6">
        <f>334</f>
        <v>334</v>
      </c>
      <c r="B336" s="6" t="s">
        <v>376</v>
      </c>
      <c r="C336" s="6" t="s">
        <v>9</v>
      </c>
      <c r="D336" s="6" t="s">
        <v>122</v>
      </c>
      <c r="E336" s="6" t="s">
        <v>17</v>
      </c>
      <c r="F336" s="6">
        <v>2</v>
      </c>
      <c r="G336" s="6">
        <v>1296</v>
      </c>
    </row>
    <row r="337" s="2" customFormat="true" ht="22.5" customHeight="true" spans="1:7">
      <c r="A337" s="6">
        <f>335</f>
        <v>335</v>
      </c>
      <c r="B337" s="6" t="s">
        <v>377</v>
      </c>
      <c r="C337" s="6" t="s">
        <v>9</v>
      </c>
      <c r="D337" s="6" t="s">
        <v>209</v>
      </c>
      <c r="E337" s="6" t="s">
        <v>17</v>
      </c>
      <c r="F337" s="6">
        <v>2</v>
      </c>
      <c r="G337" s="6">
        <v>1246</v>
      </c>
    </row>
    <row r="338" s="2" customFormat="true" ht="22.5" customHeight="true" spans="1:7">
      <c r="A338" s="6">
        <f>336</f>
        <v>336</v>
      </c>
      <c r="B338" s="6" t="s">
        <v>378</v>
      </c>
      <c r="C338" s="6" t="s">
        <v>9</v>
      </c>
      <c r="D338" s="6" t="s">
        <v>146</v>
      </c>
      <c r="E338" s="6" t="s">
        <v>11</v>
      </c>
      <c r="F338" s="6">
        <v>1</v>
      </c>
      <c r="G338" s="6">
        <v>686</v>
      </c>
    </row>
    <row r="339" s="2" customFormat="true" ht="22.5" customHeight="true" spans="1:7">
      <c r="A339" s="6">
        <f>337</f>
        <v>337</v>
      </c>
      <c r="B339" s="6" t="s">
        <v>379</v>
      </c>
      <c r="C339" s="6" t="s">
        <v>9</v>
      </c>
      <c r="D339" s="6" t="s">
        <v>16</v>
      </c>
      <c r="E339" s="6" t="s">
        <v>17</v>
      </c>
      <c r="F339" s="6">
        <v>1</v>
      </c>
      <c r="G339" s="6">
        <v>670</v>
      </c>
    </row>
    <row r="340" s="2" customFormat="true" ht="22.5" customHeight="true" spans="1:7">
      <c r="A340" s="6">
        <f>338</f>
        <v>338</v>
      </c>
      <c r="B340" s="6" t="s">
        <v>380</v>
      </c>
      <c r="C340" s="6" t="s">
        <v>9</v>
      </c>
      <c r="D340" s="6" t="s">
        <v>209</v>
      </c>
      <c r="E340" s="6" t="s">
        <v>17</v>
      </c>
      <c r="F340" s="6">
        <v>2</v>
      </c>
      <c r="G340" s="6">
        <v>1200</v>
      </c>
    </row>
    <row r="341" s="2" customFormat="true" ht="22.5" customHeight="true" spans="1:7">
      <c r="A341" s="6">
        <f>339</f>
        <v>339</v>
      </c>
      <c r="B341" s="6" t="s">
        <v>381</v>
      </c>
      <c r="C341" s="6" t="s">
        <v>9</v>
      </c>
      <c r="D341" s="6" t="s">
        <v>188</v>
      </c>
      <c r="E341" s="6" t="s">
        <v>11</v>
      </c>
      <c r="F341" s="6">
        <v>2</v>
      </c>
      <c r="G341" s="6">
        <v>1155</v>
      </c>
    </row>
    <row r="342" s="2" customFormat="true" ht="22.5" customHeight="true" spans="1:7">
      <c r="A342" s="6">
        <f>340</f>
        <v>340</v>
      </c>
      <c r="B342" s="6" t="s">
        <v>382</v>
      </c>
      <c r="C342" s="6" t="s">
        <v>9</v>
      </c>
      <c r="D342" s="6" t="s">
        <v>260</v>
      </c>
      <c r="E342" s="6" t="s">
        <v>11</v>
      </c>
      <c r="F342" s="6">
        <v>1</v>
      </c>
      <c r="G342" s="6">
        <v>559</v>
      </c>
    </row>
    <row r="343" s="2" customFormat="true" ht="22.5" customHeight="true" spans="1:7">
      <c r="A343" s="6">
        <f>341</f>
        <v>341</v>
      </c>
      <c r="B343" s="6" t="s">
        <v>383</v>
      </c>
      <c r="C343" s="6" t="s">
        <v>15</v>
      </c>
      <c r="D343" s="6" t="s">
        <v>202</v>
      </c>
      <c r="E343" s="6" t="s">
        <v>17</v>
      </c>
      <c r="F343" s="6">
        <v>1</v>
      </c>
      <c r="G343" s="6">
        <v>718</v>
      </c>
    </row>
    <row r="344" s="2" customFormat="true" ht="22.5" customHeight="true" spans="1:7">
      <c r="A344" s="6">
        <f>342</f>
        <v>342</v>
      </c>
      <c r="B344" s="6" t="s">
        <v>384</v>
      </c>
      <c r="C344" s="6" t="s">
        <v>9</v>
      </c>
      <c r="D344" s="6" t="s">
        <v>16</v>
      </c>
      <c r="E344" s="6" t="s">
        <v>11</v>
      </c>
      <c r="F344" s="6">
        <v>1</v>
      </c>
      <c r="G344" s="6">
        <v>670</v>
      </c>
    </row>
    <row r="345" s="2" customFormat="true" ht="22.5" customHeight="true" spans="1:7">
      <c r="A345" s="6">
        <f>343</f>
        <v>343</v>
      </c>
      <c r="B345" s="6" t="s">
        <v>385</v>
      </c>
      <c r="C345" s="6" t="s">
        <v>15</v>
      </c>
      <c r="D345" s="6" t="s">
        <v>209</v>
      </c>
      <c r="E345" s="6" t="s">
        <v>17</v>
      </c>
      <c r="F345" s="6">
        <v>1</v>
      </c>
      <c r="G345" s="6">
        <v>633</v>
      </c>
    </row>
    <row r="346" s="2" customFormat="true" ht="22.5" customHeight="true" spans="1:7">
      <c r="A346" s="6">
        <f>344</f>
        <v>344</v>
      </c>
      <c r="B346" s="6" t="s">
        <v>386</v>
      </c>
      <c r="C346" s="6" t="s">
        <v>9</v>
      </c>
      <c r="D346" s="6" t="s">
        <v>185</v>
      </c>
      <c r="E346" s="6" t="s">
        <v>11</v>
      </c>
      <c r="F346" s="6">
        <v>2</v>
      </c>
      <c r="G346" s="6">
        <v>1078</v>
      </c>
    </row>
    <row r="347" s="2" customFormat="true" ht="22.5" customHeight="true" spans="1:7">
      <c r="A347" s="6">
        <f>345</f>
        <v>345</v>
      </c>
      <c r="B347" s="6" t="s">
        <v>387</v>
      </c>
      <c r="C347" s="6" t="s">
        <v>9</v>
      </c>
      <c r="D347" s="6" t="s">
        <v>131</v>
      </c>
      <c r="E347" s="6" t="s">
        <v>17</v>
      </c>
      <c r="F347" s="6">
        <v>1</v>
      </c>
      <c r="G347" s="6">
        <v>638</v>
      </c>
    </row>
    <row r="348" s="2" customFormat="true" ht="22.5" customHeight="true" spans="1:7">
      <c r="A348" s="6">
        <f>346</f>
        <v>346</v>
      </c>
      <c r="B348" s="6" t="s">
        <v>388</v>
      </c>
      <c r="C348" s="6" t="s">
        <v>9</v>
      </c>
      <c r="D348" s="6" t="s">
        <v>270</v>
      </c>
      <c r="E348" s="6" t="s">
        <v>11</v>
      </c>
      <c r="F348" s="6">
        <v>2</v>
      </c>
      <c r="G348" s="6">
        <v>1138</v>
      </c>
    </row>
    <row r="349" s="2" customFormat="true" ht="22.5" customHeight="true" spans="1:7">
      <c r="A349" s="6">
        <f>347</f>
        <v>347</v>
      </c>
      <c r="B349" s="6" t="s">
        <v>389</v>
      </c>
      <c r="C349" s="6" t="s">
        <v>9</v>
      </c>
      <c r="D349" s="6" t="s">
        <v>133</v>
      </c>
      <c r="E349" s="6" t="s">
        <v>11</v>
      </c>
      <c r="F349" s="6">
        <v>2</v>
      </c>
      <c r="G349" s="6">
        <v>1098</v>
      </c>
    </row>
    <row r="350" s="2" customFormat="true" ht="22.5" customHeight="true" spans="1:7">
      <c r="A350" s="6">
        <f>348</f>
        <v>348</v>
      </c>
      <c r="B350" s="6" t="s">
        <v>390</v>
      </c>
      <c r="C350" s="6" t="s">
        <v>15</v>
      </c>
      <c r="D350" s="6" t="s">
        <v>209</v>
      </c>
      <c r="E350" s="6" t="s">
        <v>11</v>
      </c>
      <c r="F350" s="6">
        <v>1</v>
      </c>
      <c r="G350" s="6">
        <v>567</v>
      </c>
    </row>
    <row r="351" s="2" customFormat="true" ht="22.5" customHeight="true" spans="1:7">
      <c r="A351" s="6">
        <f>349</f>
        <v>349</v>
      </c>
      <c r="B351" s="6" t="s">
        <v>391</v>
      </c>
      <c r="C351" s="6" t="s">
        <v>9</v>
      </c>
      <c r="D351" s="6" t="s">
        <v>146</v>
      </c>
      <c r="E351" s="6" t="s">
        <v>11</v>
      </c>
      <c r="F351" s="6">
        <v>1</v>
      </c>
      <c r="G351" s="6">
        <v>572</v>
      </c>
    </row>
    <row r="352" s="2" customFormat="true" ht="22.5" customHeight="true" spans="1:7">
      <c r="A352" s="6">
        <f>350</f>
        <v>350</v>
      </c>
      <c r="B352" s="6" t="s">
        <v>392</v>
      </c>
      <c r="C352" s="6" t="s">
        <v>9</v>
      </c>
      <c r="D352" s="6" t="s">
        <v>182</v>
      </c>
      <c r="E352" s="6" t="s">
        <v>17</v>
      </c>
      <c r="F352" s="6">
        <v>2</v>
      </c>
      <c r="G352" s="6">
        <v>1210</v>
      </c>
    </row>
    <row r="353" s="2" customFormat="true" ht="22.5" customHeight="true" spans="1:7">
      <c r="A353" s="6">
        <f>351</f>
        <v>351</v>
      </c>
      <c r="B353" s="6" t="s">
        <v>393</v>
      </c>
      <c r="C353" s="6" t="s">
        <v>9</v>
      </c>
      <c r="D353" s="6" t="s">
        <v>222</v>
      </c>
      <c r="E353" s="6" t="s">
        <v>17</v>
      </c>
      <c r="F353" s="6">
        <v>2</v>
      </c>
      <c r="G353" s="6">
        <v>1195</v>
      </c>
    </row>
    <row r="354" s="2" customFormat="true" ht="22.5" customHeight="true" spans="1:7">
      <c r="A354" s="6">
        <f>352</f>
        <v>352</v>
      </c>
      <c r="B354" s="6" t="s">
        <v>394</v>
      </c>
      <c r="C354" s="6" t="s">
        <v>9</v>
      </c>
      <c r="D354" s="6" t="s">
        <v>167</v>
      </c>
      <c r="E354" s="6" t="s">
        <v>17</v>
      </c>
      <c r="F354" s="6">
        <v>2</v>
      </c>
      <c r="G354" s="6">
        <v>1179</v>
      </c>
    </row>
    <row r="355" s="2" customFormat="true" ht="22.5" customHeight="true" spans="1:7">
      <c r="A355" s="6">
        <f>353</f>
        <v>353</v>
      </c>
      <c r="B355" s="6" t="s">
        <v>395</v>
      </c>
      <c r="C355" s="6" t="s">
        <v>15</v>
      </c>
      <c r="D355" s="6" t="s">
        <v>146</v>
      </c>
      <c r="E355" s="6" t="s">
        <v>17</v>
      </c>
      <c r="F355" s="6">
        <v>1</v>
      </c>
      <c r="G355" s="6">
        <v>676</v>
      </c>
    </row>
    <row r="356" s="2" customFormat="true" ht="22.5" customHeight="true" spans="1:7">
      <c r="A356" s="6">
        <f>354</f>
        <v>354</v>
      </c>
      <c r="B356" s="6" t="s">
        <v>396</v>
      </c>
      <c r="C356" s="6" t="s">
        <v>9</v>
      </c>
      <c r="D356" s="6" t="s">
        <v>192</v>
      </c>
      <c r="E356" s="6" t="s">
        <v>11</v>
      </c>
      <c r="F356" s="6">
        <v>1</v>
      </c>
      <c r="G356" s="6">
        <v>557</v>
      </c>
    </row>
    <row r="357" s="2" customFormat="true" ht="22.5" customHeight="true" spans="1:7">
      <c r="A357" s="6">
        <f>355</f>
        <v>355</v>
      </c>
      <c r="B357" s="6" t="s">
        <v>228</v>
      </c>
      <c r="C357" s="6" t="s">
        <v>15</v>
      </c>
      <c r="D357" s="6" t="s">
        <v>182</v>
      </c>
      <c r="E357" s="6" t="s">
        <v>11</v>
      </c>
      <c r="F357" s="6">
        <v>1</v>
      </c>
      <c r="G357" s="6">
        <v>594</v>
      </c>
    </row>
    <row r="358" s="2" customFormat="true" ht="22.5" customHeight="true" spans="1:7">
      <c r="A358" s="6">
        <f>356</f>
        <v>356</v>
      </c>
      <c r="B358" s="6" t="s">
        <v>397</v>
      </c>
      <c r="C358" s="6" t="s">
        <v>9</v>
      </c>
      <c r="D358" s="6" t="s">
        <v>67</v>
      </c>
      <c r="E358" s="6" t="s">
        <v>17</v>
      </c>
      <c r="F358" s="6">
        <v>2</v>
      </c>
      <c r="G358" s="6">
        <v>1364</v>
      </c>
    </row>
    <row r="359" s="2" customFormat="true" ht="22.5" customHeight="true" spans="1:7">
      <c r="A359" s="6">
        <f>357</f>
        <v>357</v>
      </c>
      <c r="B359" s="6" t="s">
        <v>398</v>
      </c>
      <c r="C359" s="6" t="s">
        <v>9</v>
      </c>
      <c r="D359" s="6" t="s">
        <v>146</v>
      </c>
      <c r="E359" s="6" t="s">
        <v>11</v>
      </c>
      <c r="F359" s="6">
        <v>3</v>
      </c>
      <c r="G359" s="6">
        <v>1685</v>
      </c>
    </row>
    <row r="360" s="2" customFormat="true" ht="22.5" customHeight="true" spans="1:7">
      <c r="A360" s="6">
        <f>358</f>
        <v>358</v>
      </c>
      <c r="B360" s="6" t="s">
        <v>399</v>
      </c>
      <c r="C360" s="6" t="s">
        <v>9</v>
      </c>
      <c r="D360" s="6" t="s">
        <v>67</v>
      </c>
      <c r="E360" s="6" t="s">
        <v>17</v>
      </c>
      <c r="F360" s="6">
        <v>1</v>
      </c>
      <c r="G360" s="6">
        <v>627</v>
      </c>
    </row>
    <row r="361" s="2" customFormat="true" ht="22.5" customHeight="true" spans="1:7">
      <c r="A361" s="6">
        <f>359</f>
        <v>359</v>
      </c>
      <c r="B361" s="6" t="s">
        <v>400</v>
      </c>
      <c r="C361" s="6" t="s">
        <v>9</v>
      </c>
      <c r="D361" s="6" t="s">
        <v>159</v>
      </c>
      <c r="E361" s="6" t="s">
        <v>17</v>
      </c>
      <c r="F361" s="6">
        <v>2</v>
      </c>
      <c r="G361" s="6">
        <v>1203</v>
      </c>
    </row>
    <row r="362" s="2" customFormat="true" ht="22.5" customHeight="true" spans="1:7">
      <c r="A362" s="6">
        <f>360</f>
        <v>360</v>
      </c>
      <c r="B362" s="6" t="s">
        <v>401</v>
      </c>
      <c r="C362" s="6" t="s">
        <v>15</v>
      </c>
      <c r="D362" s="6" t="s">
        <v>49</v>
      </c>
      <c r="E362" s="6" t="s">
        <v>11</v>
      </c>
      <c r="F362" s="6">
        <v>1</v>
      </c>
      <c r="G362" s="6">
        <v>609</v>
      </c>
    </row>
    <row r="363" s="2" customFormat="true" ht="22.5" customHeight="true" spans="1:7">
      <c r="A363" s="6">
        <f>361</f>
        <v>361</v>
      </c>
      <c r="B363" s="6" t="s">
        <v>402</v>
      </c>
      <c r="C363" s="6" t="s">
        <v>9</v>
      </c>
      <c r="D363" s="6" t="s">
        <v>188</v>
      </c>
      <c r="E363" s="6" t="s">
        <v>17</v>
      </c>
      <c r="F363" s="6">
        <v>2</v>
      </c>
      <c r="G363" s="6">
        <v>1209</v>
      </c>
    </row>
    <row r="364" s="2" customFormat="true" ht="22.5" customHeight="true" spans="1:7">
      <c r="A364" s="6">
        <f>362</f>
        <v>362</v>
      </c>
      <c r="B364" s="6" t="s">
        <v>403</v>
      </c>
      <c r="C364" s="6" t="s">
        <v>15</v>
      </c>
      <c r="D364" s="6" t="s">
        <v>138</v>
      </c>
      <c r="E364" s="6" t="s">
        <v>17</v>
      </c>
      <c r="F364" s="6">
        <v>1</v>
      </c>
      <c r="G364" s="6">
        <v>730</v>
      </c>
    </row>
    <row r="365" s="2" customFormat="true" ht="22.5" customHeight="true" spans="1:7">
      <c r="A365" s="6">
        <f>363</f>
        <v>363</v>
      </c>
      <c r="B365" s="6" t="s">
        <v>404</v>
      </c>
      <c r="C365" s="6" t="s">
        <v>9</v>
      </c>
      <c r="D365" s="6" t="s">
        <v>138</v>
      </c>
      <c r="E365" s="6" t="s">
        <v>17</v>
      </c>
      <c r="F365" s="6">
        <v>2</v>
      </c>
      <c r="G365" s="6">
        <v>1210</v>
      </c>
    </row>
    <row r="366" s="2" customFormat="true" ht="22.5" customHeight="true" spans="1:7">
      <c r="A366" s="6">
        <f>364</f>
        <v>364</v>
      </c>
      <c r="B366" s="6" t="s">
        <v>405</v>
      </c>
      <c r="C366" s="6" t="s">
        <v>15</v>
      </c>
      <c r="D366" s="6" t="s">
        <v>13</v>
      </c>
      <c r="E366" s="6" t="s">
        <v>11</v>
      </c>
      <c r="F366" s="6">
        <v>1</v>
      </c>
      <c r="G366" s="6">
        <v>706</v>
      </c>
    </row>
    <row r="367" s="2" customFormat="true" ht="22.5" customHeight="true" spans="1:7">
      <c r="A367" s="6">
        <f>365</f>
        <v>365</v>
      </c>
      <c r="B367" s="6" t="s">
        <v>406</v>
      </c>
      <c r="C367" s="6" t="s">
        <v>9</v>
      </c>
      <c r="D367" s="6" t="s">
        <v>167</v>
      </c>
      <c r="E367" s="6" t="s">
        <v>11</v>
      </c>
      <c r="F367" s="6">
        <v>1</v>
      </c>
      <c r="G367" s="6">
        <v>557</v>
      </c>
    </row>
    <row r="368" s="2" customFormat="true" ht="22.5" customHeight="true" spans="1:7">
      <c r="A368" s="6">
        <f>366</f>
        <v>366</v>
      </c>
      <c r="B368" s="6" t="s">
        <v>407</v>
      </c>
      <c r="C368" s="6" t="s">
        <v>9</v>
      </c>
      <c r="D368" s="6" t="s">
        <v>146</v>
      </c>
      <c r="E368" s="6" t="s">
        <v>17</v>
      </c>
      <c r="F368" s="6">
        <v>2</v>
      </c>
      <c r="G368" s="6">
        <v>1213</v>
      </c>
    </row>
    <row r="369" s="2" customFormat="true" ht="22.5" customHeight="true" spans="1:7">
      <c r="A369" s="6">
        <f>367</f>
        <v>367</v>
      </c>
      <c r="B369" s="6" t="s">
        <v>408</v>
      </c>
      <c r="C369" s="6" t="s">
        <v>15</v>
      </c>
      <c r="D369" s="6" t="s">
        <v>138</v>
      </c>
      <c r="E369" s="6" t="s">
        <v>11</v>
      </c>
      <c r="F369" s="6">
        <v>1</v>
      </c>
      <c r="G369" s="6">
        <v>539</v>
      </c>
    </row>
    <row r="370" s="2" customFormat="true" ht="22.5" customHeight="true" spans="1:7">
      <c r="A370" s="6">
        <f>368</f>
        <v>368</v>
      </c>
      <c r="B370" s="6" t="s">
        <v>409</v>
      </c>
      <c r="C370" s="6" t="s">
        <v>9</v>
      </c>
      <c r="D370" s="6" t="s">
        <v>67</v>
      </c>
      <c r="E370" s="6" t="s">
        <v>11</v>
      </c>
      <c r="F370" s="6">
        <v>2</v>
      </c>
      <c r="G370" s="6">
        <v>1104</v>
      </c>
    </row>
    <row r="371" s="2" customFormat="true" ht="22.5" customHeight="true" spans="1:7">
      <c r="A371" s="6">
        <f>369</f>
        <v>369</v>
      </c>
      <c r="B371" s="6" t="s">
        <v>410</v>
      </c>
      <c r="C371" s="6" t="s">
        <v>9</v>
      </c>
      <c r="D371" s="6" t="s">
        <v>131</v>
      </c>
      <c r="E371" s="6" t="s">
        <v>11</v>
      </c>
      <c r="F371" s="6">
        <v>1</v>
      </c>
      <c r="G371" s="6">
        <v>582</v>
      </c>
    </row>
    <row r="372" s="2" customFormat="true" ht="22.5" customHeight="true" spans="1:7">
      <c r="A372" s="6">
        <f>370</f>
        <v>370</v>
      </c>
      <c r="B372" s="6" t="s">
        <v>411</v>
      </c>
      <c r="C372" s="6" t="s">
        <v>9</v>
      </c>
      <c r="D372" s="6" t="s">
        <v>169</v>
      </c>
      <c r="E372" s="6" t="s">
        <v>17</v>
      </c>
      <c r="F372" s="6">
        <v>2</v>
      </c>
      <c r="G372" s="6">
        <v>1173</v>
      </c>
    </row>
    <row r="373" s="2" customFormat="true" ht="22.5" customHeight="true" spans="1:7">
      <c r="A373" s="6">
        <f>371</f>
        <v>371</v>
      </c>
      <c r="B373" s="6" t="s">
        <v>412</v>
      </c>
      <c r="C373" s="6" t="s">
        <v>9</v>
      </c>
      <c r="D373" s="6" t="s">
        <v>230</v>
      </c>
      <c r="E373" s="6" t="s">
        <v>17</v>
      </c>
      <c r="F373" s="6">
        <v>1</v>
      </c>
      <c r="G373" s="6">
        <v>706</v>
      </c>
    </row>
    <row r="374" s="2" customFormat="true" ht="22.5" customHeight="true" spans="1:7">
      <c r="A374" s="6">
        <f>372</f>
        <v>372</v>
      </c>
      <c r="B374" s="6" t="s">
        <v>413</v>
      </c>
      <c r="C374" s="6" t="s">
        <v>9</v>
      </c>
      <c r="D374" s="6" t="s">
        <v>260</v>
      </c>
      <c r="E374" s="6" t="s">
        <v>17</v>
      </c>
      <c r="F374" s="6">
        <v>1</v>
      </c>
      <c r="G374" s="6">
        <v>654</v>
      </c>
    </row>
    <row r="375" s="2" customFormat="true" ht="22.5" customHeight="true" spans="1:7">
      <c r="A375" s="6">
        <f>373</f>
        <v>373</v>
      </c>
      <c r="B375" s="6" t="s">
        <v>32</v>
      </c>
      <c r="C375" s="6" t="s">
        <v>15</v>
      </c>
      <c r="D375" s="6" t="s">
        <v>49</v>
      </c>
      <c r="E375" s="6" t="s">
        <v>17</v>
      </c>
      <c r="F375" s="6">
        <v>1</v>
      </c>
      <c r="G375" s="6">
        <v>718</v>
      </c>
    </row>
    <row r="376" s="2" customFormat="true" ht="22.5" customHeight="true" spans="1:7">
      <c r="A376" s="6">
        <f>374</f>
        <v>374</v>
      </c>
      <c r="B376" s="6" t="s">
        <v>414</v>
      </c>
      <c r="C376" s="6" t="s">
        <v>9</v>
      </c>
      <c r="D376" s="6" t="s">
        <v>67</v>
      </c>
      <c r="E376" s="6" t="s">
        <v>11</v>
      </c>
      <c r="F376" s="6">
        <v>1</v>
      </c>
      <c r="G376" s="6">
        <v>612</v>
      </c>
    </row>
    <row r="377" s="2" customFormat="true" ht="22.5" customHeight="true" spans="1:7">
      <c r="A377" s="6">
        <f>375</f>
        <v>375</v>
      </c>
      <c r="B377" s="6" t="s">
        <v>415</v>
      </c>
      <c r="C377" s="6" t="s">
        <v>9</v>
      </c>
      <c r="D377" s="6" t="s">
        <v>416</v>
      </c>
      <c r="E377" s="6" t="s">
        <v>17</v>
      </c>
      <c r="F377" s="6">
        <v>2</v>
      </c>
      <c r="G377" s="6">
        <v>1209</v>
      </c>
    </row>
    <row r="378" s="2" customFormat="true" ht="22.5" customHeight="true" spans="1:7">
      <c r="A378" s="6">
        <f>376</f>
        <v>376</v>
      </c>
      <c r="B378" s="6" t="s">
        <v>417</v>
      </c>
      <c r="C378" s="6" t="s">
        <v>9</v>
      </c>
      <c r="D378" s="6" t="s">
        <v>270</v>
      </c>
      <c r="E378" s="6" t="s">
        <v>11</v>
      </c>
      <c r="F378" s="6">
        <v>1</v>
      </c>
      <c r="G378" s="6">
        <v>582</v>
      </c>
    </row>
    <row r="379" s="2" customFormat="true" ht="22.5" customHeight="true" spans="1:7">
      <c r="A379" s="6">
        <f>377</f>
        <v>377</v>
      </c>
      <c r="B379" s="6" t="s">
        <v>418</v>
      </c>
      <c r="C379" s="6" t="s">
        <v>15</v>
      </c>
      <c r="D379" s="6" t="s">
        <v>185</v>
      </c>
      <c r="E379" s="6" t="s">
        <v>11</v>
      </c>
      <c r="F379" s="6">
        <v>1</v>
      </c>
      <c r="G379" s="6">
        <v>594</v>
      </c>
    </row>
    <row r="380" s="2" customFormat="true" ht="22.5" customHeight="true" spans="1:7">
      <c r="A380" s="6">
        <f>378</f>
        <v>378</v>
      </c>
      <c r="B380" s="6" t="s">
        <v>419</v>
      </c>
      <c r="C380" s="6" t="s">
        <v>9</v>
      </c>
      <c r="D380" s="6" t="s">
        <v>49</v>
      </c>
      <c r="E380" s="6" t="s">
        <v>11</v>
      </c>
      <c r="F380" s="6">
        <v>1</v>
      </c>
      <c r="G380" s="6">
        <v>557</v>
      </c>
    </row>
    <row r="381" s="2" customFormat="true" ht="22.5" customHeight="true" spans="1:7">
      <c r="A381" s="6">
        <f>379</f>
        <v>379</v>
      </c>
      <c r="B381" s="6" t="s">
        <v>420</v>
      </c>
      <c r="C381" s="6" t="s">
        <v>15</v>
      </c>
      <c r="D381" s="6" t="s">
        <v>260</v>
      </c>
      <c r="E381" s="6" t="s">
        <v>11</v>
      </c>
      <c r="F381" s="6">
        <v>1</v>
      </c>
      <c r="G381" s="6">
        <v>582</v>
      </c>
    </row>
    <row r="382" s="2" customFormat="true" ht="22.5" customHeight="true" spans="1:7">
      <c r="A382" s="6">
        <f>380</f>
        <v>380</v>
      </c>
      <c r="B382" s="6" t="s">
        <v>421</v>
      </c>
      <c r="C382" s="6" t="s">
        <v>9</v>
      </c>
      <c r="D382" s="6" t="s">
        <v>67</v>
      </c>
      <c r="E382" s="6" t="s">
        <v>11</v>
      </c>
      <c r="F382" s="6">
        <v>2</v>
      </c>
      <c r="G382" s="6">
        <v>1108</v>
      </c>
    </row>
    <row r="383" s="2" customFormat="true" ht="22.5" customHeight="true" spans="1:7">
      <c r="A383" s="6">
        <f>381</f>
        <v>381</v>
      </c>
      <c r="B383" s="6" t="s">
        <v>422</v>
      </c>
      <c r="C383" s="6" t="s">
        <v>15</v>
      </c>
      <c r="D383" s="6" t="s">
        <v>13</v>
      </c>
      <c r="E383" s="6" t="s">
        <v>11</v>
      </c>
      <c r="F383" s="6">
        <v>1</v>
      </c>
      <c r="G383" s="6">
        <v>552</v>
      </c>
    </row>
    <row r="384" s="2" customFormat="true" ht="22.5" customHeight="true" spans="1:7">
      <c r="A384" s="6">
        <f>382</f>
        <v>382</v>
      </c>
      <c r="B384" s="6" t="s">
        <v>423</v>
      </c>
      <c r="C384" s="6" t="s">
        <v>15</v>
      </c>
      <c r="D384" s="6" t="s">
        <v>230</v>
      </c>
      <c r="E384" s="6" t="s">
        <v>17</v>
      </c>
      <c r="F384" s="6">
        <v>1</v>
      </c>
      <c r="G384" s="6">
        <v>664</v>
      </c>
    </row>
    <row r="385" s="2" customFormat="true" ht="22.5" customHeight="true" spans="1:7">
      <c r="A385" s="6">
        <f>383</f>
        <v>383</v>
      </c>
      <c r="B385" s="6" t="s">
        <v>424</v>
      </c>
      <c r="C385" s="6" t="s">
        <v>9</v>
      </c>
      <c r="D385" s="6" t="s">
        <v>270</v>
      </c>
      <c r="E385" s="6" t="s">
        <v>11</v>
      </c>
      <c r="F385" s="6">
        <v>2</v>
      </c>
      <c r="G385" s="6">
        <v>1251</v>
      </c>
    </row>
    <row r="386" s="2" customFormat="true" ht="22.5" customHeight="true" spans="1:7">
      <c r="A386" s="6">
        <f>384</f>
        <v>384</v>
      </c>
      <c r="B386" s="6" t="s">
        <v>425</v>
      </c>
      <c r="C386" s="6" t="s">
        <v>15</v>
      </c>
      <c r="D386" s="6" t="s">
        <v>159</v>
      </c>
      <c r="E386" s="6" t="s">
        <v>11</v>
      </c>
      <c r="F386" s="6">
        <v>1</v>
      </c>
      <c r="G386" s="6">
        <v>562</v>
      </c>
    </row>
    <row r="387" s="2" customFormat="true" ht="22.5" customHeight="true" spans="1:7">
      <c r="A387" s="6">
        <f>385</f>
        <v>385</v>
      </c>
      <c r="B387" s="6" t="s">
        <v>426</v>
      </c>
      <c r="C387" s="6" t="s">
        <v>9</v>
      </c>
      <c r="D387" s="6" t="s">
        <v>67</v>
      </c>
      <c r="E387" s="6" t="s">
        <v>11</v>
      </c>
      <c r="F387" s="6">
        <v>3</v>
      </c>
      <c r="G387" s="6">
        <v>1716</v>
      </c>
    </row>
    <row r="388" s="2" customFormat="true" ht="22.5" customHeight="true" spans="1:7">
      <c r="A388" s="6">
        <f>386</f>
        <v>386</v>
      </c>
      <c r="B388" s="6" t="s">
        <v>427</v>
      </c>
      <c r="C388" s="6" t="s">
        <v>15</v>
      </c>
      <c r="D388" s="6" t="s">
        <v>122</v>
      </c>
      <c r="E388" s="6" t="s">
        <v>11</v>
      </c>
      <c r="F388" s="6">
        <v>1</v>
      </c>
      <c r="G388" s="6">
        <v>559</v>
      </c>
    </row>
    <row r="389" s="2" customFormat="true" ht="22.5" customHeight="true" spans="1:7">
      <c r="A389" s="6">
        <f>387</f>
        <v>387</v>
      </c>
      <c r="B389" s="6" t="s">
        <v>428</v>
      </c>
      <c r="C389" s="6" t="s">
        <v>9</v>
      </c>
      <c r="D389" s="6" t="s">
        <v>180</v>
      </c>
      <c r="E389" s="6" t="s">
        <v>11</v>
      </c>
      <c r="F389" s="6">
        <v>2</v>
      </c>
      <c r="G389" s="6">
        <v>1142</v>
      </c>
    </row>
    <row r="390" s="2" customFormat="true" ht="22.5" customHeight="true" spans="1:7">
      <c r="A390" s="6">
        <f>388</f>
        <v>388</v>
      </c>
      <c r="B390" s="6" t="s">
        <v>429</v>
      </c>
      <c r="C390" s="6" t="s">
        <v>15</v>
      </c>
      <c r="D390" s="6" t="s">
        <v>164</v>
      </c>
      <c r="E390" s="6" t="s">
        <v>17</v>
      </c>
      <c r="F390" s="6">
        <v>1</v>
      </c>
      <c r="G390" s="6">
        <v>644</v>
      </c>
    </row>
    <row r="391" s="2" customFormat="true" ht="22.5" customHeight="true" spans="1:7">
      <c r="A391" s="6">
        <f>389</f>
        <v>389</v>
      </c>
      <c r="B391" s="6" t="s">
        <v>430</v>
      </c>
      <c r="C391" s="6" t="s">
        <v>9</v>
      </c>
      <c r="D391" s="6" t="s">
        <v>146</v>
      </c>
      <c r="E391" s="6" t="s">
        <v>11</v>
      </c>
      <c r="F391" s="6">
        <v>1</v>
      </c>
      <c r="G391" s="6">
        <v>562</v>
      </c>
    </row>
    <row r="392" s="2" customFormat="true" ht="22.5" customHeight="true" spans="1:7">
      <c r="A392" s="6">
        <f>390</f>
        <v>390</v>
      </c>
      <c r="B392" s="6" t="s">
        <v>431</v>
      </c>
      <c r="C392" s="6" t="s">
        <v>9</v>
      </c>
      <c r="D392" s="6" t="s">
        <v>169</v>
      </c>
      <c r="E392" s="6" t="s">
        <v>17</v>
      </c>
      <c r="F392" s="6">
        <v>2</v>
      </c>
      <c r="G392" s="6">
        <v>1038</v>
      </c>
    </row>
    <row r="393" s="2" customFormat="true" ht="22.5" customHeight="true" spans="1:7">
      <c r="A393" s="6">
        <f>391</f>
        <v>391</v>
      </c>
      <c r="B393" s="6" t="s">
        <v>432</v>
      </c>
      <c r="C393" s="6" t="s">
        <v>9</v>
      </c>
      <c r="D393" s="6" t="s">
        <v>182</v>
      </c>
      <c r="E393" s="6" t="s">
        <v>17</v>
      </c>
      <c r="F393" s="6">
        <v>2</v>
      </c>
      <c r="G393" s="6">
        <v>1200</v>
      </c>
    </row>
    <row r="394" s="2" customFormat="true" ht="22.5" customHeight="true" spans="1:7">
      <c r="A394" s="6">
        <f>392</f>
        <v>392</v>
      </c>
      <c r="B394" s="6" t="s">
        <v>433</v>
      </c>
      <c r="C394" s="6" t="s">
        <v>9</v>
      </c>
      <c r="D394" s="6" t="s">
        <v>169</v>
      </c>
      <c r="E394" s="6" t="s">
        <v>11</v>
      </c>
      <c r="F394" s="6">
        <v>2</v>
      </c>
      <c r="G394" s="6">
        <v>1178</v>
      </c>
    </row>
    <row r="395" s="2" customFormat="true" ht="22.5" customHeight="true" spans="1:7">
      <c r="A395" s="6">
        <f>393</f>
        <v>393</v>
      </c>
      <c r="B395" s="6" t="s">
        <v>434</v>
      </c>
      <c r="C395" s="6" t="s">
        <v>9</v>
      </c>
      <c r="D395" s="6" t="s">
        <v>136</v>
      </c>
      <c r="E395" s="6" t="s">
        <v>11</v>
      </c>
      <c r="F395" s="6">
        <v>2</v>
      </c>
      <c r="G395" s="6">
        <v>1104</v>
      </c>
    </row>
    <row r="396" s="2" customFormat="true" ht="22.5" customHeight="true" spans="1:7">
      <c r="A396" s="6">
        <f>394</f>
        <v>394</v>
      </c>
      <c r="B396" s="6" t="s">
        <v>435</v>
      </c>
      <c r="C396" s="6" t="s">
        <v>9</v>
      </c>
      <c r="D396" s="6" t="s">
        <v>133</v>
      </c>
      <c r="E396" s="6" t="s">
        <v>17</v>
      </c>
      <c r="F396" s="6">
        <v>2</v>
      </c>
      <c r="G396" s="6">
        <v>1199</v>
      </c>
    </row>
    <row r="397" s="2" customFormat="true" ht="22.5" customHeight="true" spans="1:7">
      <c r="A397" s="6">
        <f>395</f>
        <v>395</v>
      </c>
      <c r="B397" s="6" t="s">
        <v>436</v>
      </c>
      <c r="C397" s="6" t="s">
        <v>9</v>
      </c>
      <c r="D397" s="6" t="s">
        <v>280</v>
      </c>
      <c r="E397" s="6" t="s">
        <v>17</v>
      </c>
      <c r="F397" s="6">
        <v>2</v>
      </c>
      <c r="G397" s="6">
        <v>1199</v>
      </c>
    </row>
    <row r="398" s="2" customFormat="true" ht="22.5" customHeight="true" spans="1:7">
      <c r="A398" s="6">
        <f>396</f>
        <v>396</v>
      </c>
      <c r="B398" s="6" t="s">
        <v>437</v>
      </c>
      <c r="C398" s="6" t="s">
        <v>9</v>
      </c>
      <c r="D398" s="6" t="s">
        <v>270</v>
      </c>
      <c r="E398" s="6" t="s">
        <v>11</v>
      </c>
      <c r="F398" s="6">
        <v>1</v>
      </c>
      <c r="G398" s="6">
        <v>639</v>
      </c>
    </row>
    <row r="399" s="2" customFormat="true" ht="22.5" customHeight="true" spans="1:7">
      <c r="A399" s="6">
        <f>397</f>
        <v>397</v>
      </c>
      <c r="B399" s="6" t="s">
        <v>438</v>
      </c>
      <c r="C399" s="6" t="s">
        <v>15</v>
      </c>
      <c r="D399" s="6" t="s">
        <v>164</v>
      </c>
      <c r="E399" s="6" t="s">
        <v>17</v>
      </c>
      <c r="F399" s="6">
        <v>1</v>
      </c>
      <c r="G399" s="6">
        <v>585</v>
      </c>
    </row>
    <row r="400" s="2" customFormat="true" ht="22.5" customHeight="true" spans="1:7">
      <c r="A400" s="6">
        <f>398</f>
        <v>398</v>
      </c>
      <c r="B400" s="6" t="s">
        <v>439</v>
      </c>
      <c r="C400" s="6" t="s">
        <v>9</v>
      </c>
      <c r="D400" s="6" t="s">
        <v>129</v>
      </c>
      <c r="E400" s="6" t="s">
        <v>17</v>
      </c>
      <c r="F400" s="6">
        <v>2</v>
      </c>
      <c r="G400" s="6">
        <v>1219</v>
      </c>
    </row>
    <row r="401" s="2" customFormat="true" ht="22.5" customHeight="true" spans="1:7">
      <c r="A401" s="6">
        <f>399</f>
        <v>399</v>
      </c>
      <c r="B401" s="6" t="s">
        <v>440</v>
      </c>
      <c r="C401" s="6" t="s">
        <v>9</v>
      </c>
      <c r="D401" s="6" t="s">
        <v>49</v>
      </c>
      <c r="E401" s="6" t="s">
        <v>17</v>
      </c>
      <c r="F401" s="6">
        <v>1</v>
      </c>
      <c r="G401" s="6">
        <v>718</v>
      </c>
    </row>
    <row r="402" s="2" customFormat="true" ht="22.5" customHeight="true" spans="1:7">
      <c r="A402" s="6">
        <f>400</f>
        <v>400</v>
      </c>
      <c r="B402" s="6" t="s">
        <v>441</v>
      </c>
      <c r="C402" s="6" t="s">
        <v>15</v>
      </c>
      <c r="D402" s="6" t="s">
        <v>169</v>
      </c>
      <c r="E402" s="6" t="s">
        <v>17</v>
      </c>
      <c r="F402" s="6">
        <v>1</v>
      </c>
      <c r="G402" s="6">
        <v>691</v>
      </c>
    </row>
    <row r="403" s="2" customFormat="true" ht="22.5" customHeight="true" spans="1:7">
      <c r="A403" s="6">
        <f>401</f>
        <v>401</v>
      </c>
      <c r="B403" s="6" t="s">
        <v>442</v>
      </c>
      <c r="C403" s="6" t="s">
        <v>9</v>
      </c>
      <c r="D403" s="6" t="s">
        <v>49</v>
      </c>
      <c r="E403" s="6" t="s">
        <v>11</v>
      </c>
      <c r="F403" s="6">
        <v>2</v>
      </c>
      <c r="G403" s="6">
        <v>1172</v>
      </c>
    </row>
    <row r="404" s="2" customFormat="true" ht="22.5" customHeight="true" spans="1:7">
      <c r="A404" s="6">
        <f>402</f>
        <v>402</v>
      </c>
      <c r="B404" s="6" t="s">
        <v>443</v>
      </c>
      <c r="C404" s="6" t="s">
        <v>9</v>
      </c>
      <c r="D404" s="6" t="s">
        <v>133</v>
      </c>
      <c r="E404" s="6" t="s">
        <v>11</v>
      </c>
      <c r="F404" s="6">
        <v>2</v>
      </c>
      <c r="G404" s="6">
        <v>1122</v>
      </c>
    </row>
    <row r="405" s="2" customFormat="true" ht="22.5" customHeight="true" spans="1:7">
      <c r="A405" s="6">
        <f>403</f>
        <v>403</v>
      </c>
      <c r="B405" s="6" t="s">
        <v>444</v>
      </c>
      <c r="C405" s="6" t="s">
        <v>9</v>
      </c>
      <c r="D405" s="6" t="s">
        <v>182</v>
      </c>
      <c r="E405" s="6" t="s">
        <v>11</v>
      </c>
      <c r="F405" s="6">
        <v>2</v>
      </c>
      <c r="G405" s="6">
        <v>1144</v>
      </c>
    </row>
    <row r="406" s="2" customFormat="true" ht="22.5" customHeight="true" spans="1:7">
      <c r="A406" s="6">
        <f>404</f>
        <v>404</v>
      </c>
      <c r="B406" s="6" t="s">
        <v>445</v>
      </c>
      <c r="C406" s="6" t="s">
        <v>9</v>
      </c>
      <c r="D406" s="6" t="s">
        <v>27</v>
      </c>
      <c r="E406" s="6" t="s">
        <v>17</v>
      </c>
      <c r="F406" s="6">
        <v>1</v>
      </c>
      <c r="G406" s="6">
        <v>627</v>
      </c>
    </row>
    <row r="407" s="2" customFormat="true" ht="22.5" customHeight="true" spans="1:7">
      <c r="A407" s="6">
        <f>405</f>
        <v>405</v>
      </c>
      <c r="B407" s="6" t="s">
        <v>446</v>
      </c>
      <c r="C407" s="6" t="s">
        <v>9</v>
      </c>
      <c r="D407" s="6" t="s">
        <v>131</v>
      </c>
      <c r="E407" s="6" t="s">
        <v>17</v>
      </c>
      <c r="F407" s="6">
        <v>2</v>
      </c>
      <c r="G407" s="6">
        <v>1219</v>
      </c>
    </row>
    <row r="408" s="2" customFormat="true" ht="22.5" customHeight="true" spans="1:7">
      <c r="A408" s="6">
        <f>406</f>
        <v>406</v>
      </c>
      <c r="B408" s="6" t="s">
        <v>447</v>
      </c>
      <c r="C408" s="6" t="s">
        <v>9</v>
      </c>
      <c r="D408" s="6" t="s">
        <v>143</v>
      </c>
      <c r="E408" s="6" t="s">
        <v>11</v>
      </c>
      <c r="F408" s="6">
        <v>1</v>
      </c>
      <c r="G408" s="6">
        <v>572</v>
      </c>
    </row>
    <row r="409" s="2" customFormat="true" ht="22.5" customHeight="true" spans="1:7">
      <c r="A409" s="6">
        <f>407</f>
        <v>407</v>
      </c>
      <c r="B409" s="6" t="s">
        <v>448</v>
      </c>
      <c r="C409" s="6" t="s">
        <v>9</v>
      </c>
      <c r="D409" s="6" t="s">
        <v>182</v>
      </c>
      <c r="E409" s="6" t="s">
        <v>17</v>
      </c>
      <c r="F409" s="6">
        <v>4</v>
      </c>
      <c r="G409" s="6">
        <v>2628</v>
      </c>
    </row>
    <row r="410" s="2" customFormat="true" ht="22.5" customHeight="true" spans="1:7">
      <c r="A410" s="6">
        <f>408</f>
        <v>408</v>
      </c>
      <c r="B410" s="6" t="s">
        <v>449</v>
      </c>
      <c r="C410" s="6" t="s">
        <v>9</v>
      </c>
      <c r="D410" s="6" t="s">
        <v>138</v>
      </c>
      <c r="E410" s="6" t="s">
        <v>11</v>
      </c>
      <c r="F410" s="6">
        <v>1</v>
      </c>
      <c r="G410" s="6">
        <v>569</v>
      </c>
    </row>
    <row r="411" s="2" customFormat="true" ht="22.5" customHeight="true" spans="1:7">
      <c r="A411" s="6">
        <f>409</f>
        <v>409</v>
      </c>
      <c r="B411" s="6" t="s">
        <v>450</v>
      </c>
      <c r="C411" s="6" t="s">
        <v>9</v>
      </c>
      <c r="D411" s="6" t="s">
        <v>270</v>
      </c>
      <c r="E411" s="6" t="s">
        <v>11</v>
      </c>
      <c r="F411" s="6">
        <v>2</v>
      </c>
      <c r="G411" s="6">
        <v>1114</v>
      </c>
    </row>
    <row r="412" s="2" customFormat="true" ht="22.5" customHeight="true" spans="1:7">
      <c r="A412" s="6">
        <f>410</f>
        <v>410</v>
      </c>
      <c r="B412" s="6" t="s">
        <v>451</v>
      </c>
      <c r="C412" s="6" t="s">
        <v>9</v>
      </c>
      <c r="D412" s="6" t="s">
        <v>129</v>
      </c>
      <c r="E412" s="6" t="s">
        <v>17</v>
      </c>
      <c r="F412" s="6">
        <v>2</v>
      </c>
      <c r="G412" s="6">
        <v>1278</v>
      </c>
    </row>
    <row r="413" s="2" customFormat="true" ht="22.5" customHeight="true" spans="1:7">
      <c r="A413" s="6">
        <f>411</f>
        <v>411</v>
      </c>
      <c r="B413" s="6" t="s">
        <v>452</v>
      </c>
      <c r="C413" s="6" t="s">
        <v>9</v>
      </c>
      <c r="D413" s="6" t="s">
        <v>146</v>
      </c>
      <c r="E413" s="6" t="s">
        <v>11</v>
      </c>
      <c r="F413" s="6">
        <v>1</v>
      </c>
      <c r="G413" s="6">
        <v>651</v>
      </c>
    </row>
    <row r="414" s="2" customFormat="true" ht="22.5" customHeight="true" spans="1:7">
      <c r="A414" s="6">
        <f>412</f>
        <v>412</v>
      </c>
      <c r="B414" s="6" t="s">
        <v>453</v>
      </c>
      <c r="C414" s="6" t="s">
        <v>9</v>
      </c>
      <c r="D414" s="6" t="s">
        <v>230</v>
      </c>
      <c r="E414" s="6" t="s">
        <v>17</v>
      </c>
      <c r="F414" s="6">
        <v>2</v>
      </c>
      <c r="G414" s="6">
        <v>1210</v>
      </c>
    </row>
    <row r="415" s="2" customFormat="true" ht="22.5" customHeight="true" spans="1:7">
      <c r="A415" s="6">
        <f>413</f>
        <v>413</v>
      </c>
      <c r="B415" s="6" t="s">
        <v>454</v>
      </c>
      <c r="C415" s="6" t="s">
        <v>9</v>
      </c>
      <c r="D415" s="6" t="s">
        <v>192</v>
      </c>
      <c r="E415" s="6" t="s">
        <v>11</v>
      </c>
      <c r="F415" s="6">
        <v>2</v>
      </c>
      <c r="G415" s="6">
        <v>1303</v>
      </c>
    </row>
    <row r="416" s="2" customFormat="true" ht="22.5" customHeight="true" spans="1:7">
      <c r="A416" s="6">
        <f>414</f>
        <v>414</v>
      </c>
      <c r="B416" s="6" t="s">
        <v>455</v>
      </c>
      <c r="C416" s="6" t="s">
        <v>9</v>
      </c>
      <c r="D416" s="6" t="s">
        <v>129</v>
      </c>
      <c r="E416" s="6" t="s">
        <v>11</v>
      </c>
      <c r="F416" s="6">
        <v>1</v>
      </c>
      <c r="G416" s="6">
        <v>559</v>
      </c>
    </row>
    <row r="417" s="2" customFormat="true" ht="22.5" customHeight="true" spans="1:7">
      <c r="A417" s="6">
        <f>415</f>
        <v>415</v>
      </c>
      <c r="B417" s="6" t="s">
        <v>456</v>
      </c>
      <c r="C417" s="6" t="s">
        <v>9</v>
      </c>
      <c r="D417" s="6" t="s">
        <v>117</v>
      </c>
      <c r="E417" s="6" t="s">
        <v>11</v>
      </c>
      <c r="F417" s="6">
        <v>2</v>
      </c>
      <c r="G417" s="6">
        <v>1004</v>
      </c>
    </row>
    <row r="418" s="2" customFormat="true" ht="22.5" customHeight="true" spans="1:7">
      <c r="A418" s="6">
        <f>416</f>
        <v>416</v>
      </c>
      <c r="B418" s="6" t="s">
        <v>457</v>
      </c>
      <c r="C418" s="6" t="s">
        <v>9</v>
      </c>
      <c r="D418" s="6" t="s">
        <v>67</v>
      </c>
      <c r="E418" s="6" t="s">
        <v>11</v>
      </c>
      <c r="F418" s="6">
        <v>2</v>
      </c>
      <c r="G418" s="6">
        <v>1104</v>
      </c>
    </row>
    <row r="419" s="2" customFormat="true" ht="22.5" customHeight="true" spans="1:7">
      <c r="A419" s="6">
        <f>417</f>
        <v>417</v>
      </c>
      <c r="B419" s="6" t="s">
        <v>458</v>
      </c>
      <c r="C419" s="6" t="s">
        <v>9</v>
      </c>
      <c r="D419" s="6" t="s">
        <v>104</v>
      </c>
      <c r="E419" s="6" t="s">
        <v>17</v>
      </c>
      <c r="F419" s="6">
        <v>2</v>
      </c>
      <c r="G419" s="6">
        <v>1199</v>
      </c>
    </row>
    <row r="420" s="2" customFormat="true" ht="22.5" customHeight="true" spans="1:7">
      <c r="A420" s="6">
        <f>418</f>
        <v>418</v>
      </c>
      <c r="B420" s="6" t="s">
        <v>459</v>
      </c>
      <c r="C420" s="6" t="s">
        <v>9</v>
      </c>
      <c r="D420" s="6" t="s">
        <v>159</v>
      </c>
      <c r="E420" s="6" t="s">
        <v>17</v>
      </c>
      <c r="F420" s="6">
        <v>1</v>
      </c>
      <c r="G420" s="6">
        <v>582</v>
      </c>
    </row>
    <row r="421" s="2" customFormat="true" ht="22.5" customHeight="true" spans="1:7">
      <c r="A421" s="6">
        <f>419</f>
        <v>419</v>
      </c>
      <c r="B421" s="6" t="s">
        <v>460</v>
      </c>
      <c r="C421" s="6" t="s">
        <v>15</v>
      </c>
      <c r="D421" s="6" t="s">
        <v>167</v>
      </c>
      <c r="E421" s="6" t="s">
        <v>11</v>
      </c>
      <c r="F421" s="6">
        <v>1</v>
      </c>
      <c r="G421" s="6">
        <v>629</v>
      </c>
    </row>
    <row r="422" s="2" customFormat="true" ht="22.5" customHeight="true" spans="1:7">
      <c r="A422" s="6">
        <f>420</f>
        <v>420</v>
      </c>
      <c r="B422" s="6" t="s">
        <v>461</v>
      </c>
      <c r="C422" s="6" t="s">
        <v>15</v>
      </c>
      <c r="D422" s="6" t="s">
        <v>133</v>
      </c>
      <c r="E422" s="6" t="s">
        <v>17</v>
      </c>
      <c r="F422" s="6">
        <v>1</v>
      </c>
      <c r="G422" s="6">
        <v>657</v>
      </c>
    </row>
    <row r="423" s="2" customFormat="true" ht="22.5" customHeight="true" spans="1:7">
      <c r="A423" s="6">
        <f>421</f>
        <v>421</v>
      </c>
      <c r="B423" s="6" t="s">
        <v>462</v>
      </c>
      <c r="C423" s="6" t="s">
        <v>9</v>
      </c>
      <c r="D423" s="6" t="s">
        <v>136</v>
      </c>
      <c r="E423" s="6" t="s">
        <v>17</v>
      </c>
      <c r="F423" s="6">
        <v>2</v>
      </c>
      <c r="G423" s="6">
        <v>1190</v>
      </c>
    </row>
    <row r="424" s="2" customFormat="true" ht="22.5" customHeight="true" spans="1:7">
      <c r="A424" s="6">
        <f>422</f>
        <v>422</v>
      </c>
      <c r="B424" s="6" t="s">
        <v>463</v>
      </c>
      <c r="C424" s="6" t="s">
        <v>9</v>
      </c>
      <c r="D424" s="6" t="s">
        <v>104</v>
      </c>
      <c r="E424" s="6" t="s">
        <v>17</v>
      </c>
      <c r="F424" s="6">
        <v>2</v>
      </c>
      <c r="G424" s="6">
        <v>1188</v>
      </c>
    </row>
    <row r="425" s="2" customFormat="true" ht="22.5" customHeight="true" spans="1:7">
      <c r="A425" s="6">
        <f>423</f>
        <v>423</v>
      </c>
      <c r="B425" s="6" t="s">
        <v>464</v>
      </c>
      <c r="C425" s="6" t="s">
        <v>9</v>
      </c>
      <c r="D425" s="6" t="s">
        <v>164</v>
      </c>
      <c r="E425" s="6" t="s">
        <v>11</v>
      </c>
      <c r="F425" s="6">
        <v>1</v>
      </c>
      <c r="G425" s="6">
        <v>572</v>
      </c>
    </row>
    <row r="426" s="2" customFormat="true" ht="22.5" customHeight="true" spans="1:7">
      <c r="A426" s="6">
        <f>424</f>
        <v>424</v>
      </c>
      <c r="B426" s="6" t="s">
        <v>465</v>
      </c>
      <c r="C426" s="6" t="s">
        <v>15</v>
      </c>
      <c r="D426" s="6" t="s">
        <v>13</v>
      </c>
      <c r="E426" s="6" t="s">
        <v>11</v>
      </c>
      <c r="F426" s="6">
        <v>2</v>
      </c>
      <c r="G426" s="6">
        <v>1128</v>
      </c>
    </row>
    <row r="427" s="2" customFormat="true" ht="22.5" customHeight="true" spans="1:7">
      <c r="A427" s="6">
        <f>425</f>
        <v>425</v>
      </c>
      <c r="B427" s="6" t="s">
        <v>466</v>
      </c>
      <c r="C427" s="6" t="s">
        <v>9</v>
      </c>
      <c r="D427" s="6" t="s">
        <v>161</v>
      </c>
      <c r="E427" s="6" t="s">
        <v>11</v>
      </c>
      <c r="F427" s="6">
        <v>2</v>
      </c>
      <c r="G427" s="6">
        <v>1134</v>
      </c>
    </row>
    <row r="428" s="2" customFormat="true" ht="22.5" customHeight="true" spans="1:7">
      <c r="A428" s="6">
        <f>426</f>
        <v>426</v>
      </c>
      <c r="B428" s="6" t="s">
        <v>467</v>
      </c>
      <c r="C428" s="6" t="s">
        <v>9</v>
      </c>
      <c r="D428" s="6" t="s">
        <v>129</v>
      </c>
      <c r="E428" s="6" t="s">
        <v>11</v>
      </c>
      <c r="F428" s="6">
        <v>4</v>
      </c>
      <c r="G428" s="6">
        <v>2356</v>
      </c>
    </row>
    <row r="429" s="2" customFormat="true" ht="22.5" customHeight="true" spans="1:7">
      <c r="A429" s="6">
        <f>427</f>
        <v>427</v>
      </c>
      <c r="B429" s="6" t="s">
        <v>468</v>
      </c>
      <c r="C429" s="6" t="s">
        <v>9</v>
      </c>
      <c r="D429" s="6" t="s">
        <v>16</v>
      </c>
      <c r="E429" s="6" t="s">
        <v>17</v>
      </c>
      <c r="F429" s="6">
        <v>2</v>
      </c>
      <c r="G429" s="6">
        <v>1380</v>
      </c>
    </row>
    <row r="430" s="2" customFormat="true" ht="22.5" customHeight="true" spans="1:7">
      <c r="A430" s="6">
        <f>428</f>
        <v>428</v>
      </c>
      <c r="B430" s="6" t="s">
        <v>469</v>
      </c>
      <c r="C430" s="6" t="s">
        <v>15</v>
      </c>
      <c r="D430" s="6" t="s">
        <v>209</v>
      </c>
      <c r="E430" s="6" t="s">
        <v>17</v>
      </c>
      <c r="F430" s="6">
        <v>1</v>
      </c>
      <c r="G430" s="6">
        <v>627</v>
      </c>
    </row>
    <row r="431" s="2" customFormat="true" ht="22.5" customHeight="true" spans="1:7">
      <c r="A431" s="6">
        <f>429</f>
        <v>429</v>
      </c>
      <c r="B431" s="6" t="s">
        <v>470</v>
      </c>
      <c r="C431" s="6" t="s">
        <v>9</v>
      </c>
      <c r="D431" s="6" t="s">
        <v>180</v>
      </c>
      <c r="E431" s="6" t="s">
        <v>17</v>
      </c>
      <c r="F431" s="6">
        <v>2</v>
      </c>
      <c r="G431" s="6">
        <v>1046</v>
      </c>
    </row>
    <row r="432" s="2" customFormat="true" ht="22.5" customHeight="true" spans="1:7">
      <c r="A432" s="6">
        <f>430</f>
        <v>430</v>
      </c>
      <c r="B432" s="6" t="s">
        <v>471</v>
      </c>
      <c r="C432" s="6" t="s">
        <v>9</v>
      </c>
      <c r="D432" s="6" t="s">
        <v>131</v>
      </c>
      <c r="E432" s="6" t="s">
        <v>11</v>
      </c>
      <c r="F432" s="6">
        <v>1</v>
      </c>
      <c r="G432" s="6">
        <v>549</v>
      </c>
    </row>
    <row r="433" s="2" customFormat="true" ht="22.5" customHeight="true" spans="1:7">
      <c r="A433" s="6">
        <f>431</f>
        <v>431</v>
      </c>
      <c r="B433" s="6" t="s">
        <v>472</v>
      </c>
      <c r="C433" s="6" t="s">
        <v>9</v>
      </c>
      <c r="D433" s="6" t="s">
        <v>230</v>
      </c>
      <c r="E433" s="6" t="s">
        <v>11</v>
      </c>
      <c r="F433" s="6">
        <v>2</v>
      </c>
      <c r="G433" s="6">
        <v>1104</v>
      </c>
    </row>
    <row r="434" s="2" customFormat="true" ht="22.5" customHeight="true" spans="1:7">
      <c r="A434" s="6">
        <f>432</f>
        <v>432</v>
      </c>
      <c r="B434" s="6" t="s">
        <v>473</v>
      </c>
      <c r="C434" s="6" t="s">
        <v>9</v>
      </c>
      <c r="D434" s="6" t="s">
        <v>13</v>
      </c>
      <c r="E434" s="6" t="s">
        <v>11</v>
      </c>
      <c r="F434" s="6">
        <v>1</v>
      </c>
      <c r="G434" s="6">
        <v>569</v>
      </c>
    </row>
    <row r="435" s="2" customFormat="true" ht="22.5" customHeight="true" spans="1:7">
      <c r="A435" s="6">
        <f>433</f>
        <v>433</v>
      </c>
      <c r="B435" s="6" t="s">
        <v>474</v>
      </c>
      <c r="C435" s="6" t="s">
        <v>9</v>
      </c>
      <c r="D435" s="6" t="s">
        <v>169</v>
      </c>
      <c r="E435" s="6" t="s">
        <v>17</v>
      </c>
      <c r="F435" s="6">
        <v>1</v>
      </c>
      <c r="G435" s="6">
        <v>645</v>
      </c>
    </row>
    <row r="436" s="2" customFormat="true" ht="22.5" customHeight="true" spans="1:7">
      <c r="A436" s="6">
        <f>434</f>
        <v>434</v>
      </c>
      <c r="B436" s="6" t="s">
        <v>475</v>
      </c>
      <c r="C436" s="6" t="s">
        <v>9</v>
      </c>
      <c r="D436" s="6" t="s">
        <v>270</v>
      </c>
      <c r="E436" s="6" t="s">
        <v>11</v>
      </c>
      <c r="F436" s="6">
        <v>1</v>
      </c>
      <c r="G436" s="6">
        <v>654</v>
      </c>
    </row>
    <row r="437" s="2" customFormat="true" ht="22.5" customHeight="true" spans="1:7">
      <c r="A437" s="6">
        <f>435</f>
        <v>435</v>
      </c>
      <c r="B437" s="6" t="s">
        <v>476</v>
      </c>
      <c r="C437" s="6" t="s">
        <v>9</v>
      </c>
      <c r="D437" s="6" t="s">
        <v>143</v>
      </c>
      <c r="E437" s="6" t="s">
        <v>11</v>
      </c>
      <c r="F437" s="6">
        <v>1</v>
      </c>
      <c r="G437" s="6">
        <v>624</v>
      </c>
    </row>
    <row r="438" s="2" customFormat="true" ht="22.5" customHeight="true" spans="1:7">
      <c r="A438" s="6">
        <f>436</f>
        <v>436</v>
      </c>
      <c r="B438" s="6" t="s">
        <v>477</v>
      </c>
      <c r="C438" s="6" t="s">
        <v>9</v>
      </c>
      <c r="D438" s="6" t="s">
        <v>146</v>
      </c>
      <c r="E438" s="6" t="s">
        <v>11</v>
      </c>
      <c r="F438" s="6">
        <v>1</v>
      </c>
      <c r="G438" s="6">
        <v>572</v>
      </c>
    </row>
    <row r="439" s="2" customFormat="true" ht="22.5" customHeight="true" spans="1:7">
      <c r="A439" s="6">
        <f>437</f>
        <v>437</v>
      </c>
      <c r="B439" s="6" t="s">
        <v>478</v>
      </c>
      <c r="C439" s="6" t="s">
        <v>9</v>
      </c>
      <c r="D439" s="6" t="s">
        <v>104</v>
      </c>
      <c r="E439" s="6" t="s">
        <v>17</v>
      </c>
      <c r="F439" s="6">
        <v>3</v>
      </c>
      <c r="G439" s="6">
        <v>1692</v>
      </c>
    </row>
    <row r="440" s="2" customFormat="true" ht="22.5" customHeight="true" spans="1:7">
      <c r="A440" s="6">
        <f>438</f>
        <v>438</v>
      </c>
      <c r="B440" s="6" t="s">
        <v>479</v>
      </c>
      <c r="C440" s="6" t="s">
        <v>9</v>
      </c>
      <c r="D440" s="6" t="s">
        <v>270</v>
      </c>
      <c r="E440" s="6" t="s">
        <v>17</v>
      </c>
      <c r="F440" s="6">
        <v>2</v>
      </c>
      <c r="G440" s="6">
        <v>1254</v>
      </c>
    </row>
    <row r="441" s="2" customFormat="true" ht="22.5" customHeight="true" spans="1:7">
      <c r="A441" s="6">
        <f>439</f>
        <v>439</v>
      </c>
      <c r="B441" s="6" t="s">
        <v>480</v>
      </c>
      <c r="C441" s="6" t="s">
        <v>9</v>
      </c>
      <c r="D441" s="6" t="s">
        <v>182</v>
      </c>
      <c r="E441" s="6" t="s">
        <v>11</v>
      </c>
      <c r="F441" s="6">
        <v>1</v>
      </c>
      <c r="G441" s="6">
        <v>594</v>
      </c>
    </row>
    <row r="442" s="2" customFormat="true" ht="22.5" customHeight="true" spans="1:7">
      <c r="A442" s="6">
        <f>440</f>
        <v>440</v>
      </c>
      <c r="B442" s="6" t="s">
        <v>481</v>
      </c>
      <c r="C442" s="6" t="s">
        <v>9</v>
      </c>
      <c r="D442" s="6" t="s">
        <v>260</v>
      </c>
      <c r="E442" s="6" t="s">
        <v>17</v>
      </c>
      <c r="F442" s="6">
        <v>2</v>
      </c>
      <c r="G442" s="6">
        <v>1209</v>
      </c>
    </row>
    <row r="443" s="2" customFormat="true" ht="22.5" customHeight="true" spans="1:7">
      <c r="A443" s="6">
        <f>441</f>
        <v>441</v>
      </c>
      <c r="B443" s="6" t="s">
        <v>482</v>
      </c>
      <c r="C443" s="6" t="s">
        <v>15</v>
      </c>
      <c r="D443" s="6" t="s">
        <v>117</v>
      </c>
      <c r="E443" s="6" t="s">
        <v>11</v>
      </c>
      <c r="F443" s="6">
        <v>1</v>
      </c>
      <c r="G443" s="6">
        <v>549</v>
      </c>
    </row>
    <row r="444" s="2" customFormat="true" ht="22.5" customHeight="true" spans="1:7">
      <c r="A444" s="6">
        <f>442</f>
        <v>442</v>
      </c>
      <c r="B444" s="6" t="s">
        <v>483</v>
      </c>
      <c r="C444" s="6" t="s">
        <v>9</v>
      </c>
      <c r="D444" s="6" t="s">
        <v>27</v>
      </c>
      <c r="E444" s="6" t="s">
        <v>17</v>
      </c>
      <c r="F444" s="6">
        <v>1</v>
      </c>
      <c r="G444" s="6">
        <v>706</v>
      </c>
    </row>
    <row r="445" s="2" customFormat="true" ht="22.5" customHeight="true" spans="1:7">
      <c r="A445" s="6">
        <f>443</f>
        <v>443</v>
      </c>
      <c r="B445" s="6" t="s">
        <v>484</v>
      </c>
      <c r="C445" s="6" t="s">
        <v>9</v>
      </c>
      <c r="D445" s="6" t="s">
        <v>185</v>
      </c>
      <c r="E445" s="6" t="s">
        <v>17</v>
      </c>
      <c r="F445" s="6">
        <v>1</v>
      </c>
      <c r="G445" s="6">
        <v>594</v>
      </c>
    </row>
    <row r="446" s="2" customFormat="true" ht="22.5" customHeight="true" spans="1:7">
      <c r="A446" s="6">
        <f>444</f>
        <v>444</v>
      </c>
      <c r="B446" s="6" t="s">
        <v>485</v>
      </c>
      <c r="C446" s="6" t="s">
        <v>9</v>
      </c>
      <c r="D446" s="6" t="s">
        <v>192</v>
      </c>
      <c r="E446" s="6" t="s">
        <v>11</v>
      </c>
      <c r="F446" s="6">
        <v>1</v>
      </c>
      <c r="G446" s="6">
        <v>594</v>
      </c>
    </row>
    <row r="447" s="2" customFormat="true" ht="22.5" customHeight="true" spans="1:7">
      <c r="A447" s="6">
        <f>445</f>
        <v>445</v>
      </c>
      <c r="B447" s="6" t="s">
        <v>486</v>
      </c>
      <c r="C447" s="6" t="s">
        <v>9</v>
      </c>
      <c r="D447" s="6" t="s">
        <v>209</v>
      </c>
      <c r="E447" s="6" t="s">
        <v>17</v>
      </c>
      <c r="F447" s="6">
        <v>2</v>
      </c>
      <c r="G447" s="6">
        <v>1089</v>
      </c>
    </row>
    <row r="448" s="2" customFormat="true" ht="22.5" customHeight="true" spans="1:7">
      <c r="A448" s="6">
        <f>446</f>
        <v>446</v>
      </c>
      <c r="B448" s="6" t="s">
        <v>487</v>
      </c>
      <c r="C448" s="6" t="s">
        <v>9</v>
      </c>
      <c r="D448" s="6" t="s">
        <v>146</v>
      </c>
      <c r="E448" s="6" t="s">
        <v>11</v>
      </c>
      <c r="F448" s="6">
        <v>2</v>
      </c>
      <c r="G448" s="6">
        <v>1298</v>
      </c>
    </row>
    <row r="449" s="2" customFormat="true" ht="22.5" customHeight="true" spans="1:7">
      <c r="A449" s="6">
        <f>447</f>
        <v>447</v>
      </c>
      <c r="B449" s="6" t="s">
        <v>488</v>
      </c>
      <c r="C449" s="6" t="s">
        <v>9</v>
      </c>
      <c r="D449" s="6" t="s">
        <v>146</v>
      </c>
      <c r="E449" s="6" t="s">
        <v>11</v>
      </c>
      <c r="F449" s="6">
        <v>1</v>
      </c>
      <c r="G449" s="6">
        <v>582</v>
      </c>
    </row>
    <row r="450" s="2" customFormat="true" ht="22.5" customHeight="true" spans="1:7">
      <c r="A450" s="6">
        <f>448</f>
        <v>448</v>
      </c>
      <c r="B450" s="6" t="s">
        <v>489</v>
      </c>
      <c r="C450" s="6" t="s">
        <v>9</v>
      </c>
      <c r="D450" s="6" t="s">
        <v>149</v>
      </c>
      <c r="E450" s="6" t="s">
        <v>17</v>
      </c>
      <c r="F450" s="6">
        <v>2</v>
      </c>
      <c r="G450" s="6">
        <v>1178</v>
      </c>
    </row>
    <row r="451" s="2" customFormat="true" ht="22.5" customHeight="true" spans="1:7">
      <c r="A451" s="6">
        <f>449</f>
        <v>449</v>
      </c>
      <c r="B451" s="6" t="s">
        <v>490</v>
      </c>
      <c r="C451" s="6" t="s">
        <v>9</v>
      </c>
      <c r="D451" s="6" t="s">
        <v>182</v>
      </c>
      <c r="E451" s="6" t="s">
        <v>11</v>
      </c>
      <c r="F451" s="6">
        <v>2</v>
      </c>
      <c r="G451" s="6">
        <v>1096</v>
      </c>
    </row>
    <row r="452" s="2" customFormat="true" ht="22.5" customHeight="true" spans="1:7">
      <c r="A452" s="6">
        <f>450</f>
        <v>450</v>
      </c>
      <c r="B452" s="6" t="s">
        <v>491</v>
      </c>
      <c r="C452" s="6" t="s">
        <v>9</v>
      </c>
      <c r="D452" s="6" t="s">
        <v>270</v>
      </c>
      <c r="E452" s="6" t="s">
        <v>17</v>
      </c>
      <c r="F452" s="6">
        <v>3</v>
      </c>
      <c r="G452" s="6">
        <v>1897</v>
      </c>
    </row>
    <row r="453" s="2" customFormat="true" ht="22.5" customHeight="true" spans="1:7">
      <c r="A453" s="6">
        <f>451</f>
        <v>451</v>
      </c>
      <c r="B453" s="6" t="s">
        <v>492</v>
      </c>
      <c r="C453" s="6" t="s">
        <v>15</v>
      </c>
      <c r="D453" s="6" t="s">
        <v>129</v>
      </c>
      <c r="E453" s="6" t="s">
        <v>11</v>
      </c>
      <c r="F453" s="6">
        <v>1</v>
      </c>
      <c r="G453" s="6">
        <v>495</v>
      </c>
    </row>
    <row r="454" s="2" customFormat="true" ht="22.5" customHeight="true" spans="1:7">
      <c r="A454" s="6">
        <f>452</f>
        <v>452</v>
      </c>
      <c r="B454" s="6" t="s">
        <v>493</v>
      </c>
      <c r="C454" s="6" t="s">
        <v>9</v>
      </c>
      <c r="D454" s="6" t="s">
        <v>136</v>
      </c>
      <c r="E454" s="6" t="s">
        <v>17</v>
      </c>
      <c r="F454" s="6">
        <v>2</v>
      </c>
      <c r="G454" s="6">
        <v>1170</v>
      </c>
    </row>
    <row r="455" s="2" customFormat="true" ht="22.5" customHeight="true" spans="1:7">
      <c r="A455" s="6">
        <f>453</f>
        <v>453</v>
      </c>
      <c r="B455" s="6" t="s">
        <v>494</v>
      </c>
      <c r="C455" s="6" t="s">
        <v>9</v>
      </c>
      <c r="D455" s="6" t="s">
        <v>230</v>
      </c>
      <c r="E455" s="6" t="s">
        <v>11</v>
      </c>
      <c r="F455" s="6">
        <v>1</v>
      </c>
      <c r="G455" s="6">
        <v>577</v>
      </c>
    </row>
    <row r="456" s="2" customFormat="true" ht="22.5" customHeight="true" spans="1:7">
      <c r="A456" s="6">
        <f>454</f>
        <v>454</v>
      </c>
      <c r="B456" s="6" t="s">
        <v>495</v>
      </c>
      <c r="C456" s="6" t="s">
        <v>9</v>
      </c>
      <c r="D456" s="6" t="s">
        <v>129</v>
      </c>
      <c r="E456" s="6" t="s">
        <v>17</v>
      </c>
      <c r="F456" s="6">
        <v>2</v>
      </c>
      <c r="G456" s="6">
        <v>1051</v>
      </c>
    </row>
    <row r="457" s="2" customFormat="true" ht="22.5" customHeight="true" spans="1:7">
      <c r="A457" s="6">
        <f>455</f>
        <v>455</v>
      </c>
      <c r="B457" s="6" t="s">
        <v>496</v>
      </c>
      <c r="C457" s="6" t="s">
        <v>9</v>
      </c>
      <c r="D457" s="6" t="s">
        <v>182</v>
      </c>
      <c r="E457" s="6" t="s">
        <v>11</v>
      </c>
      <c r="F457" s="6">
        <v>3</v>
      </c>
      <c r="G457" s="6">
        <v>1583</v>
      </c>
    </row>
    <row r="458" s="2" customFormat="true" ht="22.5" customHeight="true" spans="1:7">
      <c r="A458" s="6">
        <f>456</f>
        <v>456</v>
      </c>
      <c r="B458" s="6" t="s">
        <v>497</v>
      </c>
      <c r="C458" s="6" t="s">
        <v>15</v>
      </c>
      <c r="D458" s="6" t="s">
        <v>16</v>
      </c>
      <c r="E458" s="6" t="s">
        <v>17</v>
      </c>
      <c r="F458" s="6">
        <v>1</v>
      </c>
      <c r="G458" s="6">
        <v>594</v>
      </c>
    </row>
    <row r="459" s="2" customFormat="true" ht="22.5" customHeight="true" spans="1:7">
      <c r="A459" s="6">
        <f>457</f>
        <v>457</v>
      </c>
      <c r="B459" s="6" t="s">
        <v>498</v>
      </c>
      <c r="C459" s="6" t="s">
        <v>9</v>
      </c>
      <c r="D459" s="6" t="s">
        <v>209</v>
      </c>
      <c r="E459" s="6" t="s">
        <v>11</v>
      </c>
      <c r="F459" s="6">
        <v>3</v>
      </c>
      <c r="G459" s="6">
        <v>1590</v>
      </c>
    </row>
    <row r="460" s="2" customFormat="true" ht="22.5" customHeight="true" spans="1:7">
      <c r="A460" s="6">
        <f>458</f>
        <v>458</v>
      </c>
      <c r="B460" s="6" t="s">
        <v>499</v>
      </c>
      <c r="C460" s="6" t="s">
        <v>15</v>
      </c>
      <c r="D460" s="6" t="s">
        <v>67</v>
      </c>
      <c r="E460" s="6" t="s">
        <v>17</v>
      </c>
      <c r="F460" s="6">
        <v>1</v>
      </c>
      <c r="G460" s="6">
        <v>627</v>
      </c>
    </row>
    <row r="461" s="2" customFormat="true" ht="22.5" customHeight="true" spans="1:7">
      <c r="A461" s="6">
        <f>459</f>
        <v>459</v>
      </c>
      <c r="B461" s="6" t="s">
        <v>414</v>
      </c>
      <c r="C461" s="6" t="s">
        <v>9</v>
      </c>
      <c r="D461" s="6" t="s">
        <v>67</v>
      </c>
      <c r="E461" s="6" t="s">
        <v>17</v>
      </c>
      <c r="F461" s="6">
        <v>2</v>
      </c>
      <c r="G461" s="6">
        <v>1125</v>
      </c>
    </row>
    <row r="462" s="2" customFormat="true" ht="22.5" customHeight="true" spans="1:7">
      <c r="A462" s="6">
        <f>460</f>
        <v>460</v>
      </c>
      <c r="B462" s="6" t="s">
        <v>500</v>
      </c>
      <c r="C462" s="6" t="s">
        <v>9</v>
      </c>
      <c r="D462" s="6" t="s">
        <v>49</v>
      </c>
      <c r="E462" s="6" t="s">
        <v>11</v>
      </c>
      <c r="F462" s="6">
        <v>2</v>
      </c>
      <c r="G462" s="6">
        <v>1032</v>
      </c>
    </row>
    <row r="463" s="2" customFormat="true" ht="22.5" customHeight="true" spans="1:7">
      <c r="A463" s="6">
        <f>461</f>
        <v>461</v>
      </c>
      <c r="B463" s="6" t="s">
        <v>501</v>
      </c>
      <c r="C463" s="6" t="s">
        <v>9</v>
      </c>
      <c r="D463" s="6" t="s">
        <v>49</v>
      </c>
      <c r="E463" s="6" t="s">
        <v>11</v>
      </c>
      <c r="F463" s="6">
        <v>1</v>
      </c>
      <c r="G463" s="6">
        <v>523</v>
      </c>
    </row>
    <row r="464" s="2" customFormat="true" ht="22.5" customHeight="true" spans="1:7">
      <c r="A464" s="6">
        <f>462</f>
        <v>462</v>
      </c>
      <c r="B464" s="6" t="s">
        <v>502</v>
      </c>
      <c r="C464" s="6" t="s">
        <v>9</v>
      </c>
      <c r="D464" s="6" t="s">
        <v>129</v>
      </c>
      <c r="E464" s="6" t="s">
        <v>17</v>
      </c>
      <c r="F464" s="6">
        <v>2</v>
      </c>
      <c r="G464" s="6">
        <v>1091</v>
      </c>
    </row>
    <row r="465" s="2" customFormat="true" ht="22.5" customHeight="true" spans="1:7">
      <c r="A465" s="6">
        <f>463</f>
        <v>463</v>
      </c>
      <c r="B465" s="6" t="s">
        <v>503</v>
      </c>
      <c r="C465" s="6" t="s">
        <v>15</v>
      </c>
      <c r="D465" s="6" t="s">
        <v>185</v>
      </c>
      <c r="E465" s="6" t="s">
        <v>17</v>
      </c>
      <c r="F465" s="6">
        <v>2</v>
      </c>
      <c r="G465" s="6">
        <v>1284</v>
      </c>
    </row>
    <row r="466" s="2" customFormat="true" ht="22.5" customHeight="true" spans="1:7">
      <c r="A466" s="6">
        <f>464</f>
        <v>464</v>
      </c>
      <c r="B466" s="6" t="s">
        <v>504</v>
      </c>
      <c r="C466" s="6" t="s">
        <v>9</v>
      </c>
      <c r="D466" s="6" t="s">
        <v>169</v>
      </c>
      <c r="E466" s="6" t="s">
        <v>17</v>
      </c>
      <c r="F466" s="6">
        <v>2</v>
      </c>
      <c r="G466" s="6">
        <v>1244</v>
      </c>
    </row>
    <row r="467" s="2" customFormat="true" ht="22.5" customHeight="true" spans="1:7">
      <c r="A467" s="6">
        <f>465</f>
        <v>465</v>
      </c>
      <c r="B467" s="6" t="s">
        <v>505</v>
      </c>
      <c r="C467" s="6" t="s">
        <v>9</v>
      </c>
      <c r="D467" s="6" t="s">
        <v>133</v>
      </c>
      <c r="E467" s="6" t="s">
        <v>11</v>
      </c>
      <c r="F467" s="6">
        <v>1</v>
      </c>
      <c r="G467" s="6">
        <v>575</v>
      </c>
    </row>
    <row r="468" s="2" customFormat="true" ht="22.5" customHeight="true" spans="1:7">
      <c r="A468" s="6">
        <f>466</f>
        <v>466</v>
      </c>
      <c r="B468" s="6" t="s">
        <v>506</v>
      </c>
      <c r="C468" s="6" t="s">
        <v>9</v>
      </c>
      <c r="D468" s="6" t="s">
        <v>182</v>
      </c>
      <c r="E468" s="6" t="s">
        <v>17</v>
      </c>
      <c r="F468" s="6">
        <v>2</v>
      </c>
      <c r="G468" s="6">
        <v>1268</v>
      </c>
    </row>
    <row r="469" s="2" customFormat="true" ht="22.5" customHeight="true" spans="1:7">
      <c r="A469" s="6">
        <f>467</f>
        <v>467</v>
      </c>
      <c r="B469" s="6" t="s">
        <v>507</v>
      </c>
      <c r="C469" s="6" t="s">
        <v>15</v>
      </c>
      <c r="D469" s="6" t="s">
        <v>117</v>
      </c>
      <c r="E469" s="6" t="s">
        <v>17</v>
      </c>
      <c r="F469" s="6">
        <v>2</v>
      </c>
      <c r="G469" s="6">
        <v>1192</v>
      </c>
    </row>
    <row r="470" s="2" customFormat="true" ht="22.5" customHeight="true" spans="1:7">
      <c r="A470" s="6">
        <f>468</f>
        <v>468</v>
      </c>
      <c r="B470" s="6" t="s">
        <v>508</v>
      </c>
      <c r="C470" s="6" t="s">
        <v>15</v>
      </c>
      <c r="D470" s="6" t="s">
        <v>129</v>
      </c>
      <c r="E470" s="6" t="s">
        <v>79</v>
      </c>
      <c r="F470" s="6">
        <v>1</v>
      </c>
      <c r="G470" s="6">
        <v>621</v>
      </c>
    </row>
    <row r="471" s="2" customFormat="true" ht="22.5" customHeight="true" spans="1:7">
      <c r="A471" s="6">
        <f>469</f>
        <v>469</v>
      </c>
      <c r="B471" s="6" t="s">
        <v>509</v>
      </c>
      <c r="C471" s="6" t="s">
        <v>9</v>
      </c>
      <c r="D471" s="6" t="s">
        <v>16</v>
      </c>
      <c r="E471" s="6" t="s">
        <v>17</v>
      </c>
      <c r="F471" s="6">
        <v>2</v>
      </c>
      <c r="G471" s="6">
        <v>1248</v>
      </c>
    </row>
    <row r="472" s="2" customFormat="true" ht="22.5" customHeight="true" spans="1:7">
      <c r="A472" s="6">
        <f>470</f>
        <v>470</v>
      </c>
      <c r="B472" s="6" t="s">
        <v>510</v>
      </c>
      <c r="C472" s="6" t="s">
        <v>15</v>
      </c>
      <c r="D472" s="6" t="s">
        <v>49</v>
      </c>
      <c r="E472" s="6" t="s">
        <v>17</v>
      </c>
      <c r="F472" s="6">
        <v>2</v>
      </c>
      <c r="G472" s="6">
        <v>1157</v>
      </c>
    </row>
    <row r="473" s="2" customFormat="true" ht="22.5" customHeight="true" spans="1:7">
      <c r="A473" s="6">
        <f>471</f>
        <v>471</v>
      </c>
      <c r="B473" s="6" t="s">
        <v>511</v>
      </c>
      <c r="C473" s="6" t="s">
        <v>9</v>
      </c>
      <c r="D473" s="6" t="s">
        <v>222</v>
      </c>
      <c r="E473" s="6" t="s">
        <v>17</v>
      </c>
      <c r="F473" s="6">
        <v>2</v>
      </c>
      <c r="G473" s="6">
        <v>1059</v>
      </c>
    </row>
    <row r="474" s="2" customFormat="true" ht="22.5" customHeight="true" spans="1:7">
      <c r="A474" s="6">
        <f>472</f>
        <v>472</v>
      </c>
      <c r="B474" s="6" t="s">
        <v>512</v>
      </c>
      <c r="C474" s="6" t="s">
        <v>9</v>
      </c>
      <c r="D474" s="6" t="s">
        <v>185</v>
      </c>
      <c r="E474" s="6" t="s">
        <v>11</v>
      </c>
      <c r="F474" s="6">
        <v>2</v>
      </c>
      <c r="G474" s="6">
        <v>1252</v>
      </c>
    </row>
    <row r="475" s="2" customFormat="true" ht="22.5" customHeight="true" spans="1:7">
      <c r="A475" s="6">
        <f>473</f>
        <v>473</v>
      </c>
      <c r="B475" s="6" t="s">
        <v>513</v>
      </c>
      <c r="C475" s="6" t="s">
        <v>9</v>
      </c>
      <c r="D475" s="6" t="s">
        <v>49</v>
      </c>
      <c r="E475" s="6" t="s">
        <v>11</v>
      </c>
      <c r="F475" s="6">
        <v>1</v>
      </c>
      <c r="G475" s="6">
        <v>507</v>
      </c>
    </row>
    <row r="476" s="2" customFormat="true" ht="22.5" customHeight="true" spans="1:7">
      <c r="A476" s="6">
        <f>474</f>
        <v>474</v>
      </c>
      <c r="B476" s="6" t="s">
        <v>514</v>
      </c>
      <c r="C476" s="6" t="s">
        <v>15</v>
      </c>
      <c r="D476" s="6" t="s">
        <v>117</v>
      </c>
      <c r="E476" s="6" t="s">
        <v>17</v>
      </c>
      <c r="F476" s="6">
        <v>1</v>
      </c>
      <c r="G476" s="6">
        <v>637</v>
      </c>
    </row>
    <row r="477" s="2" customFormat="true" ht="22.5" customHeight="true" spans="1:7">
      <c r="A477" s="6">
        <f>475</f>
        <v>475</v>
      </c>
      <c r="B477" s="6" t="s">
        <v>515</v>
      </c>
      <c r="C477" s="6" t="s">
        <v>15</v>
      </c>
      <c r="D477" s="6" t="s">
        <v>16</v>
      </c>
      <c r="E477" s="6" t="s">
        <v>17</v>
      </c>
      <c r="F477" s="6">
        <v>1</v>
      </c>
      <c r="G477" s="6">
        <v>690</v>
      </c>
    </row>
    <row r="478" s="2" customFormat="true" ht="22.5" customHeight="true" spans="1:7">
      <c r="A478" s="6">
        <f>476</f>
        <v>476</v>
      </c>
      <c r="B478" s="6" t="s">
        <v>516</v>
      </c>
      <c r="C478" s="6" t="s">
        <v>9</v>
      </c>
      <c r="D478" s="6" t="s">
        <v>146</v>
      </c>
      <c r="E478" s="6" t="s">
        <v>11</v>
      </c>
      <c r="F478" s="6">
        <v>1</v>
      </c>
      <c r="G478" s="6">
        <v>679</v>
      </c>
    </row>
    <row r="479" s="2" customFormat="true" ht="22.5" customHeight="true" spans="1:7">
      <c r="A479" s="6">
        <f>477</f>
        <v>477</v>
      </c>
      <c r="B479" s="6" t="s">
        <v>517</v>
      </c>
      <c r="C479" s="6" t="s">
        <v>9</v>
      </c>
      <c r="D479" s="6" t="s">
        <v>104</v>
      </c>
      <c r="E479" s="6" t="s">
        <v>17</v>
      </c>
      <c r="F479" s="6">
        <v>3</v>
      </c>
      <c r="G479" s="6">
        <v>1848</v>
      </c>
    </row>
    <row r="480" s="2" customFormat="true" ht="22.5" customHeight="true" spans="1:7">
      <c r="A480" s="6">
        <f>478</f>
        <v>478</v>
      </c>
      <c r="B480" s="6" t="s">
        <v>518</v>
      </c>
      <c r="C480" s="6" t="s">
        <v>9</v>
      </c>
      <c r="D480" s="6" t="s">
        <v>222</v>
      </c>
      <c r="E480" s="6" t="s">
        <v>17</v>
      </c>
      <c r="F480" s="6">
        <v>1</v>
      </c>
      <c r="G480" s="6">
        <v>649</v>
      </c>
    </row>
    <row r="481" s="2" customFormat="true" ht="22.5" customHeight="true" spans="1:7">
      <c r="A481" s="6">
        <f>479</f>
        <v>479</v>
      </c>
      <c r="B481" s="6" t="s">
        <v>519</v>
      </c>
      <c r="C481" s="6" t="s">
        <v>9</v>
      </c>
      <c r="D481" s="6" t="s">
        <v>131</v>
      </c>
      <c r="E481" s="6" t="s">
        <v>17</v>
      </c>
      <c r="F481" s="6">
        <v>2</v>
      </c>
      <c r="G481" s="6">
        <v>1025</v>
      </c>
    </row>
    <row r="482" s="2" customFormat="true" ht="22.5" customHeight="true" spans="1:7">
      <c r="A482" s="6">
        <f>480</f>
        <v>480</v>
      </c>
      <c r="B482" s="6" t="s">
        <v>520</v>
      </c>
      <c r="C482" s="6" t="s">
        <v>15</v>
      </c>
      <c r="D482" s="6" t="s">
        <v>146</v>
      </c>
      <c r="E482" s="6" t="s">
        <v>17</v>
      </c>
      <c r="F482" s="6">
        <v>2</v>
      </c>
      <c r="G482" s="6">
        <v>1178</v>
      </c>
    </row>
    <row r="483" s="2" customFormat="true" ht="22.5" customHeight="true" spans="1:7">
      <c r="A483" s="6">
        <f>481</f>
        <v>481</v>
      </c>
      <c r="B483" s="6" t="s">
        <v>521</v>
      </c>
      <c r="C483" s="6" t="s">
        <v>15</v>
      </c>
      <c r="D483" s="6" t="s">
        <v>159</v>
      </c>
      <c r="E483" s="6" t="s">
        <v>17</v>
      </c>
      <c r="F483" s="6">
        <v>1</v>
      </c>
      <c r="G483" s="6">
        <v>539</v>
      </c>
    </row>
    <row r="484" s="2" customFormat="true" ht="22.5" customHeight="true" spans="1:7">
      <c r="A484" s="6">
        <f>482</f>
        <v>482</v>
      </c>
      <c r="B484" s="6" t="s">
        <v>522</v>
      </c>
      <c r="C484" s="6" t="s">
        <v>15</v>
      </c>
      <c r="D484" s="6" t="s">
        <v>131</v>
      </c>
      <c r="E484" s="6" t="s">
        <v>17</v>
      </c>
      <c r="F484" s="6">
        <v>1</v>
      </c>
      <c r="G484" s="6">
        <v>639</v>
      </c>
    </row>
    <row r="485" s="2" customFormat="true" ht="22.5" customHeight="true" spans="1:7">
      <c r="A485" s="6">
        <f>483</f>
        <v>483</v>
      </c>
      <c r="B485" s="6" t="s">
        <v>523</v>
      </c>
      <c r="C485" s="6" t="s">
        <v>9</v>
      </c>
      <c r="D485" s="6" t="s">
        <v>49</v>
      </c>
      <c r="E485" s="6" t="s">
        <v>17</v>
      </c>
      <c r="F485" s="6">
        <v>1</v>
      </c>
      <c r="G485" s="6">
        <v>633</v>
      </c>
    </row>
    <row r="486" s="2" customFormat="true" ht="22.5" customHeight="true" spans="1:7">
      <c r="A486" s="6">
        <f>484</f>
        <v>484</v>
      </c>
      <c r="B486" s="6" t="s">
        <v>524</v>
      </c>
      <c r="C486" s="6" t="s">
        <v>9</v>
      </c>
      <c r="D486" s="6" t="s">
        <v>209</v>
      </c>
      <c r="E486" s="6" t="s">
        <v>17</v>
      </c>
      <c r="F486" s="6">
        <v>2</v>
      </c>
      <c r="G486" s="6">
        <v>1264</v>
      </c>
    </row>
    <row r="487" s="2" customFormat="true" ht="22.5" customHeight="true" spans="1:7">
      <c r="A487" s="6">
        <f>485</f>
        <v>485</v>
      </c>
      <c r="B487" s="6" t="s">
        <v>525</v>
      </c>
      <c r="C487" s="6" t="s">
        <v>9</v>
      </c>
      <c r="D487" s="6" t="s">
        <v>122</v>
      </c>
      <c r="E487" s="6" t="s">
        <v>17</v>
      </c>
      <c r="F487" s="6">
        <v>1</v>
      </c>
      <c r="G487" s="6">
        <v>657</v>
      </c>
    </row>
    <row r="488" s="2" customFormat="true" ht="22.5" customHeight="true" spans="1:7">
      <c r="A488" s="6">
        <f>486</f>
        <v>486</v>
      </c>
      <c r="B488" s="6" t="s">
        <v>526</v>
      </c>
      <c r="C488" s="6" t="s">
        <v>9</v>
      </c>
      <c r="D488" s="6" t="s">
        <v>222</v>
      </c>
      <c r="E488" s="6" t="s">
        <v>17</v>
      </c>
      <c r="F488" s="6">
        <v>2</v>
      </c>
      <c r="G488" s="6">
        <v>1176</v>
      </c>
    </row>
    <row r="489" s="2" customFormat="true" ht="22.5" customHeight="true" spans="1:7">
      <c r="A489" s="6">
        <f>487</f>
        <v>487</v>
      </c>
      <c r="B489" s="6" t="s">
        <v>527</v>
      </c>
      <c r="C489" s="6" t="s">
        <v>9</v>
      </c>
      <c r="D489" s="6" t="s">
        <v>104</v>
      </c>
      <c r="E489" s="6" t="s">
        <v>17</v>
      </c>
      <c r="F489" s="6">
        <v>2</v>
      </c>
      <c r="G489" s="6">
        <v>1254</v>
      </c>
    </row>
    <row r="490" s="2" customFormat="true" ht="22.5" customHeight="true" spans="1:7">
      <c r="A490" s="6">
        <f>488</f>
        <v>488</v>
      </c>
      <c r="B490" s="6" t="s">
        <v>528</v>
      </c>
      <c r="C490" s="6" t="s">
        <v>9</v>
      </c>
      <c r="D490" s="6" t="s">
        <v>180</v>
      </c>
      <c r="E490" s="6" t="s">
        <v>79</v>
      </c>
      <c r="F490" s="6">
        <v>2</v>
      </c>
      <c r="G490" s="6">
        <v>1294</v>
      </c>
    </row>
    <row r="491" s="2" customFormat="true" ht="22.5" customHeight="true" spans="1:7">
      <c r="A491" s="6">
        <f>489</f>
        <v>489</v>
      </c>
      <c r="B491" s="6" t="s">
        <v>529</v>
      </c>
      <c r="C491" s="6" t="s">
        <v>15</v>
      </c>
      <c r="D491" s="6" t="s">
        <v>129</v>
      </c>
      <c r="E491" s="6" t="s">
        <v>17</v>
      </c>
      <c r="F491" s="6">
        <v>1</v>
      </c>
      <c r="G491" s="6">
        <v>657</v>
      </c>
    </row>
    <row r="492" s="2" customFormat="true" ht="22.5" customHeight="true" spans="1:7">
      <c r="A492" s="6">
        <f>490</f>
        <v>490</v>
      </c>
      <c r="B492" s="6" t="s">
        <v>530</v>
      </c>
      <c r="C492" s="6" t="s">
        <v>15</v>
      </c>
      <c r="D492" s="6" t="s">
        <v>122</v>
      </c>
      <c r="E492" s="6" t="s">
        <v>79</v>
      </c>
      <c r="F492" s="6">
        <v>1</v>
      </c>
      <c r="G492" s="6">
        <v>575</v>
      </c>
    </row>
    <row r="493" s="2" customFormat="true" ht="22.5" customHeight="true" spans="1:7">
      <c r="A493" s="6">
        <f>491</f>
        <v>491</v>
      </c>
      <c r="B493" s="6" t="s">
        <v>531</v>
      </c>
      <c r="C493" s="6" t="s">
        <v>9</v>
      </c>
      <c r="D493" s="6" t="s">
        <v>143</v>
      </c>
      <c r="E493" s="6" t="s">
        <v>11</v>
      </c>
      <c r="F493" s="6">
        <v>3</v>
      </c>
      <c r="G493" s="6">
        <v>1827</v>
      </c>
    </row>
    <row r="494" s="2" customFormat="true" ht="22.5" customHeight="true" spans="1:7">
      <c r="A494" s="6">
        <f>492</f>
        <v>492</v>
      </c>
      <c r="B494" s="6" t="s">
        <v>532</v>
      </c>
      <c r="C494" s="6" t="s">
        <v>9</v>
      </c>
      <c r="D494" s="6" t="s">
        <v>416</v>
      </c>
      <c r="E494" s="6" t="s">
        <v>17</v>
      </c>
      <c r="F494" s="6">
        <v>1</v>
      </c>
      <c r="G494" s="6">
        <v>624</v>
      </c>
    </row>
    <row r="495" s="2" customFormat="true" ht="22.5" customHeight="true" spans="1:7">
      <c r="A495" s="6">
        <f>493</f>
        <v>493</v>
      </c>
      <c r="B495" s="6" t="s">
        <v>533</v>
      </c>
      <c r="C495" s="6" t="s">
        <v>15</v>
      </c>
      <c r="D495" s="6" t="s">
        <v>138</v>
      </c>
      <c r="E495" s="6" t="s">
        <v>17</v>
      </c>
      <c r="F495" s="6">
        <v>1</v>
      </c>
      <c r="G495" s="6">
        <v>638</v>
      </c>
    </row>
    <row r="496" s="2" customFormat="true" ht="22.5" customHeight="true" spans="1:7">
      <c r="A496" s="6">
        <f>494</f>
        <v>494</v>
      </c>
      <c r="B496" s="6" t="s">
        <v>534</v>
      </c>
      <c r="C496" s="6" t="s">
        <v>9</v>
      </c>
      <c r="D496" s="6" t="s">
        <v>209</v>
      </c>
      <c r="E496" s="6" t="s">
        <v>17</v>
      </c>
      <c r="F496" s="6">
        <v>2</v>
      </c>
      <c r="G496" s="6">
        <v>1253</v>
      </c>
    </row>
    <row r="497" s="2" customFormat="true" ht="22.5" customHeight="true" spans="1:7">
      <c r="A497" s="6">
        <f>495</f>
        <v>495</v>
      </c>
      <c r="B497" s="6" t="s">
        <v>535</v>
      </c>
      <c r="C497" s="6" t="s">
        <v>9</v>
      </c>
      <c r="D497" s="6" t="s">
        <v>209</v>
      </c>
      <c r="E497" s="6" t="s">
        <v>17</v>
      </c>
      <c r="F497" s="6">
        <v>2</v>
      </c>
      <c r="G497" s="6">
        <v>1039</v>
      </c>
    </row>
    <row r="498" s="2" customFormat="true" ht="22.5" customHeight="true" spans="1:7">
      <c r="A498" s="6">
        <f>496</f>
        <v>496</v>
      </c>
      <c r="B498" s="6" t="s">
        <v>536</v>
      </c>
      <c r="C498" s="6" t="s">
        <v>9</v>
      </c>
      <c r="D498" s="6" t="s">
        <v>202</v>
      </c>
      <c r="E498" s="6" t="s">
        <v>11</v>
      </c>
      <c r="F498" s="6">
        <v>2</v>
      </c>
      <c r="G498" s="6">
        <v>1184</v>
      </c>
    </row>
    <row r="499" s="2" customFormat="true" ht="22.5" customHeight="true" spans="1:7">
      <c r="A499" s="6">
        <f>497</f>
        <v>497</v>
      </c>
      <c r="B499" s="6" t="s">
        <v>537</v>
      </c>
      <c r="C499" s="6" t="s">
        <v>9</v>
      </c>
      <c r="D499" s="6" t="s">
        <v>129</v>
      </c>
      <c r="E499" s="6" t="s">
        <v>11</v>
      </c>
      <c r="F499" s="6">
        <v>1</v>
      </c>
      <c r="G499" s="6">
        <v>557</v>
      </c>
    </row>
    <row r="500" s="2" customFormat="true" ht="22.5" customHeight="true" spans="1:7">
      <c r="A500" s="6">
        <f>498</f>
        <v>498</v>
      </c>
      <c r="B500" s="6" t="s">
        <v>538</v>
      </c>
      <c r="C500" s="6" t="s">
        <v>9</v>
      </c>
      <c r="D500" s="6" t="s">
        <v>167</v>
      </c>
      <c r="E500" s="6" t="s">
        <v>17</v>
      </c>
      <c r="F500" s="6">
        <v>1</v>
      </c>
      <c r="G500" s="6">
        <v>729</v>
      </c>
    </row>
    <row r="501" s="2" customFormat="true" ht="22.5" customHeight="true" spans="1:7">
      <c r="A501" s="6">
        <f>499</f>
        <v>499</v>
      </c>
      <c r="B501" s="6" t="s">
        <v>539</v>
      </c>
      <c r="C501" s="6" t="s">
        <v>9</v>
      </c>
      <c r="D501" s="6" t="s">
        <v>104</v>
      </c>
      <c r="E501" s="6" t="s">
        <v>17</v>
      </c>
      <c r="F501" s="6">
        <v>3</v>
      </c>
      <c r="G501" s="6">
        <v>1954</v>
      </c>
    </row>
    <row r="502" s="2" customFormat="true" ht="22.5" customHeight="true" spans="1:7">
      <c r="A502" s="6">
        <f>500</f>
        <v>500</v>
      </c>
      <c r="B502" s="6" t="s">
        <v>540</v>
      </c>
      <c r="C502" s="6" t="s">
        <v>9</v>
      </c>
      <c r="D502" s="6" t="s">
        <v>182</v>
      </c>
      <c r="E502" s="6" t="s">
        <v>17</v>
      </c>
      <c r="F502" s="6">
        <v>2</v>
      </c>
      <c r="G502" s="6">
        <v>1210</v>
      </c>
    </row>
    <row r="503" s="2" customFormat="true" ht="22.5" customHeight="true" spans="1:7">
      <c r="A503" s="6">
        <f>501</f>
        <v>501</v>
      </c>
      <c r="B503" s="6" t="s">
        <v>541</v>
      </c>
      <c r="C503" s="6" t="s">
        <v>9</v>
      </c>
      <c r="D503" s="6" t="s">
        <v>67</v>
      </c>
      <c r="E503" s="6" t="s">
        <v>17</v>
      </c>
      <c r="F503" s="6">
        <v>2</v>
      </c>
      <c r="G503" s="6">
        <v>1105</v>
      </c>
    </row>
    <row r="504" s="2" customFormat="true" ht="22.5" customHeight="true" spans="1:7">
      <c r="A504" s="6">
        <f>502</f>
        <v>502</v>
      </c>
      <c r="B504" s="6" t="s">
        <v>542</v>
      </c>
      <c r="C504" s="6" t="s">
        <v>15</v>
      </c>
      <c r="D504" s="6" t="s">
        <v>27</v>
      </c>
      <c r="E504" s="6" t="s">
        <v>17</v>
      </c>
      <c r="F504" s="6">
        <v>1</v>
      </c>
      <c r="G504" s="6">
        <v>642</v>
      </c>
    </row>
    <row r="505" s="2" customFormat="true" ht="22.5" customHeight="true" spans="1:7">
      <c r="A505" s="6">
        <f>503</f>
        <v>503</v>
      </c>
      <c r="B505" s="6" t="s">
        <v>543</v>
      </c>
      <c r="C505" s="6" t="s">
        <v>15</v>
      </c>
      <c r="D505" s="6" t="s">
        <v>13</v>
      </c>
      <c r="E505" s="6" t="s">
        <v>11</v>
      </c>
      <c r="F505" s="6">
        <v>1</v>
      </c>
      <c r="G505" s="6">
        <v>597</v>
      </c>
    </row>
    <row r="506" s="2" customFormat="true" ht="22.5" customHeight="true" spans="1:7">
      <c r="A506" s="6">
        <f>504</f>
        <v>504</v>
      </c>
      <c r="B506" s="6" t="s">
        <v>544</v>
      </c>
      <c r="C506" s="6" t="s">
        <v>9</v>
      </c>
      <c r="D506" s="6" t="s">
        <v>209</v>
      </c>
      <c r="E506" s="6" t="s">
        <v>17</v>
      </c>
      <c r="F506" s="6">
        <v>2</v>
      </c>
      <c r="G506" s="6">
        <v>1257</v>
      </c>
    </row>
    <row r="507" s="2" customFormat="true" ht="22.5" customHeight="true" spans="1:7">
      <c r="A507" s="6">
        <f>505</f>
        <v>505</v>
      </c>
      <c r="B507" s="6" t="s">
        <v>545</v>
      </c>
      <c r="C507" s="6" t="s">
        <v>15</v>
      </c>
      <c r="D507" s="6" t="s">
        <v>131</v>
      </c>
      <c r="E507" s="6" t="s">
        <v>17</v>
      </c>
      <c r="F507" s="6">
        <v>1</v>
      </c>
      <c r="G507" s="6">
        <v>568</v>
      </c>
    </row>
    <row r="508" s="2" customFormat="true" ht="22.5" customHeight="true" spans="1:7">
      <c r="A508" s="6">
        <f>506</f>
        <v>506</v>
      </c>
      <c r="B508" s="6" t="s">
        <v>546</v>
      </c>
      <c r="C508" s="6" t="s">
        <v>9</v>
      </c>
      <c r="D508" s="6" t="s">
        <v>230</v>
      </c>
      <c r="E508" s="6" t="s">
        <v>17</v>
      </c>
      <c r="F508" s="6">
        <v>1</v>
      </c>
      <c r="G508" s="6">
        <v>656</v>
      </c>
    </row>
    <row r="509" s="2" customFormat="true" ht="22.5" customHeight="true" spans="1:7">
      <c r="A509" s="6">
        <f>507</f>
        <v>507</v>
      </c>
      <c r="B509" s="6" t="s">
        <v>547</v>
      </c>
      <c r="C509" s="6" t="s">
        <v>9</v>
      </c>
      <c r="D509" s="6" t="s">
        <v>117</v>
      </c>
      <c r="E509" s="6" t="s">
        <v>11</v>
      </c>
      <c r="F509" s="6">
        <v>1</v>
      </c>
      <c r="G509" s="6">
        <v>600</v>
      </c>
    </row>
    <row r="510" s="2" customFormat="true" ht="22.5" customHeight="true" spans="1:7">
      <c r="A510" s="6">
        <f>508</f>
        <v>508</v>
      </c>
      <c r="B510" s="6" t="s">
        <v>548</v>
      </c>
      <c r="C510" s="6" t="s">
        <v>15</v>
      </c>
      <c r="D510" s="6" t="s">
        <v>159</v>
      </c>
      <c r="E510" s="6" t="s">
        <v>79</v>
      </c>
      <c r="F510" s="6">
        <v>1</v>
      </c>
      <c r="G510" s="6">
        <v>698</v>
      </c>
    </row>
    <row r="511" s="2" customFormat="true" ht="22.5" customHeight="true" spans="1:7">
      <c r="A511" s="6">
        <f>509</f>
        <v>509</v>
      </c>
      <c r="B511" s="6" t="s">
        <v>549</v>
      </c>
      <c r="C511" s="6" t="s">
        <v>9</v>
      </c>
      <c r="D511" s="6" t="s">
        <v>192</v>
      </c>
      <c r="E511" s="6" t="s">
        <v>11</v>
      </c>
      <c r="F511" s="6">
        <v>2</v>
      </c>
      <c r="G511" s="6">
        <v>1238</v>
      </c>
    </row>
    <row r="512" s="2" customFormat="true" ht="22.5" customHeight="true" spans="1:7">
      <c r="A512" s="6">
        <f>510</f>
        <v>510</v>
      </c>
      <c r="B512" s="6" t="s">
        <v>550</v>
      </c>
      <c r="C512" s="6" t="s">
        <v>9</v>
      </c>
      <c r="D512" s="6" t="s">
        <v>188</v>
      </c>
      <c r="E512" s="6" t="s">
        <v>17</v>
      </c>
      <c r="F512" s="6">
        <v>2</v>
      </c>
      <c r="G512" s="6">
        <v>1212</v>
      </c>
    </row>
    <row r="513" s="2" customFormat="true" ht="22.5" customHeight="true" spans="1:7">
      <c r="A513" s="6">
        <f>511</f>
        <v>511</v>
      </c>
      <c r="B513" s="6" t="s">
        <v>551</v>
      </c>
      <c r="C513" s="6" t="s">
        <v>9</v>
      </c>
      <c r="D513" s="6" t="s">
        <v>136</v>
      </c>
      <c r="E513" s="6" t="s">
        <v>11</v>
      </c>
      <c r="F513" s="6">
        <v>2</v>
      </c>
      <c r="G513" s="6">
        <v>1097</v>
      </c>
    </row>
    <row r="514" s="2" customFormat="true" ht="22.5" customHeight="true" spans="1:7">
      <c r="A514" s="6">
        <f>512</f>
        <v>512</v>
      </c>
      <c r="B514" s="6" t="s">
        <v>552</v>
      </c>
      <c r="C514" s="6" t="s">
        <v>9</v>
      </c>
      <c r="D514" s="6" t="s">
        <v>416</v>
      </c>
      <c r="E514" s="6" t="s">
        <v>17</v>
      </c>
      <c r="F514" s="6">
        <v>2</v>
      </c>
      <c r="G514" s="6">
        <v>1061</v>
      </c>
    </row>
    <row r="515" s="2" customFormat="true" ht="22.5" customHeight="true" spans="1:7">
      <c r="A515" s="6">
        <f>513</f>
        <v>513</v>
      </c>
      <c r="B515" s="6" t="s">
        <v>553</v>
      </c>
      <c r="C515" s="6" t="s">
        <v>9</v>
      </c>
      <c r="D515" s="6" t="s">
        <v>131</v>
      </c>
      <c r="E515" s="6" t="s">
        <v>17</v>
      </c>
      <c r="F515" s="6">
        <v>3</v>
      </c>
      <c r="G515" s="6">
        <v>1677</v>
      </c>
    </row>
    <row r="516" s="2" customFormat="true" ht="22.5" customHeight="true" spans="1:7">
      <c r="A516" s="6">
        <f>514</f>
        <v>514</v>
      </c>
      <c r="B516" s="6" t="s">
        <v>554</v>
      </c>
      <c r="C516" s="6" t="s">
        <v>15</v>
      </c>
      <c r="D516" s="6" t="s">
        <v>146</v>
      </c>
      <c r="E516" s="6" t="s">
        <v>17</v>
      </c>
      <c r="F516" s="6">
        <v>1</v>
      </c>
      <c r="G516" s="6">
        <v>656</v>
      </c>
    </row>
    <row r="517" s="2" customFormat="true" ht="22.5" customHeight="true" spans="1:7">
      <c r="A517" s="6">
        <f>515</f>
        <v>515</v>
      </c>
      <c r="B517" s="6" t="s">
        <v>555</v>
      </c>
      <c r="C517" s="6" t="s">
        <v>15</v>
      </c>
      <c r="D517" s="6" t="s">
        <v>180</v>
      </c>
      <c r="E517" s="6" t="s">
        <v>17</v>
      </c>
      <c r="F517" s="6">
        <v>1</v>
      </c>
      <c r="G517" s="6">
        <v>664</v>
      </c>
    </row>
    <row r="518" s="2" customFormat="true" ht="22.5" customHeight="true" spans="1:7">
      <c r="A518" s="6">
        <f>516</f>
        <v>516</v>
      </c>
      <c r="B518" s="6" t="s">
        <v>556</v>
      </c>
      <c r="C518" s="6" t="s">
        <v>9</v>
      </c>
      <c r="D518" s="6" t="s">
        <v>131</v>
      </c>
      <c r="E518" s="6" t="s">
        <v>17</v>
      </c>
      <c r="F518" s="6">
        <v>1</v>
      </c>
      <c r="G518" s="6">
        <v>729</v>
      </c>
    </row>
    <row r="519" s="2" customFormat="true" ht="22.5" customHeight="true" spans="1:7">
      <c r="A519" s="6">
        <f>517</f>
        <v>517</v>
      </c>
      <c r="B519" s="6" t="s">
        <v>557</v>
      </c>
      <c r="C519" s="6" t="s">
        <v>15</v>
      </c>
      <c r="D519" s="6" t="s">
        <v>67</v>
      </c>
      <c r="E519" s="6" t="s">
        <v>17</v>
      </c>
      <c r="F519" s="6">
        <v>1</v>
      </c>
      <c r="G519" s="6">
        <v>706</v>
      </c>
    </row>
    <row r="520" s="2" customFormat="true" ht="22.5" customHeight="true" spans="1:7">
      <c r="A520" s="6">
        <f>518</f>
        <v>518</v>
      </c>
      <c r="B520" s="6" t="s">
        <v>558</v>
      </c>
      <c r="C520" s="6" t="s">
        <v>9</v>
      </c>
      <c r="D520" s="6" t="s">
        <v>209</v>
      </c>
      <c r="E520" s="6" t="s">
        <v>17</v>
      </c>
      <c r="F520" s="6">
        <v>1</v>
      </c>
      <c r="G520" s="6">
        <v>657</v>
      </c>
    </row>
    <row r="521" s="2" customFormat="true" ht="22.5" customHeight="true" spans="1:7">
      <c r="A521" s="6">
        <f>519</f>
        <v>519</v>
      </c>
      <c r="B521" s="6" t="s">
        <v>559</v>
      </c>
      <c r="C521" s="6" t="s">
        <v>9</v>
      </c>
      <c r="D521" s="6" t="s">
        <v>159</v>
      </c>
      <c r="E521" s="6" t="s">
        <v>11</v>
      </c>
      <c r="F521" s="6">
        <v>2</v>
      </c>
      <c r="G521" s="6">
        <v>1131</v>
      </c>
    </row>
    <row r="522" s="2" customFormat="true" ht="22.5" customHeight="true" spans="1:7">
      <c r="A522" s="6">
        <f>520</f>
        <v>520</v>
      </c>
      <c r="B522" s="6" t="s">
        <v>560</v>
      </c>
      <c r="C522" s="6" t="s">
        <v>9</v>
      </c>
      <c r="D522" s="6" t="s">
        <v>122</v>
      </c>
      <c r="E522" s="6" t="s">
        <v>17</v>
      </c>
      <c r="F522" s="6">
        <v>2</v>
      </c>
      <c r="G522" s="6">
        <v>1304</v>
      </c>
    </row>
    <row r="523" s="2" customFormat="true" ht="22.5" customHeight="true" spans="1:7">
      <c r="A523" s="6">
        <f>521</f>
        <v>521</v>
      </c>
      <c r="B523" s="6" t="s">
        <v>561</v>
      </c>
      <c r="C523" s="6" t="s">
        <v>9</v>
      </c>
      <c r="D523" s="6" t="s">
        <v>146</v>
      </c>
      <c r="E523" s="6" t="s">
        <v>17</v>
      </c>
      <c r="F523" s="6">
        <v>2</v>
      </c>
      <c r="G523" s="6">
        <v>1212</v>
      </c>
    </row>
    <row r="524" s="2" customFormat="true" ht="22.5" customHeight="true" spans="1:7">
      <c r="A524" s="6">
        <f>522</f>
        <v>522</v>
      </c>
      <c r="B524" s="6" t="s">
        <v>562</v>
      </c>
      <c r="C524" s="6" t="s">
        <v>9</v>
      </c>
      <c r="D524" s="6" t="s">
        <v>230</v>
      </c>
      <c r="E524" s="6" t="s">
        <v>17</v>
      </c>
      <c r="F524" s="6">
        <v>1</v>
      </c>
      <c r="G524" s="6">
        <v>698</v>
      </c>
    </row>
    <row r="525" s="2" customFormat="true" ht="22.5" customHeight="true" spans="1:7">
      <c r="A525" s="6">
        <f>523</f>
        <v>523</v>
      </c>
      <c r="B525" s="6" t="s">
        <v>563</v>
      </c>
      <c r="C525" s="6" t="s">
        <v>9</v>
      </c>
      <c r="D525" s="6" t="s">
        <v>164</v>
      </c>
      <c r="E525" s="6" t="s">
        <v>17</v>
      </c>
      <c r="F525" s="6">
        <v>3</v>
      </c>
      <c r="G525" s="6">
        <v>1698</v>
      </c>
    </row>
    <row r="526" s="2" customFormat="true" ht="22.5" customHeight="true" spans="1:7">
      <c r="A526" s="6">
        <f>524</f>
        <v>524</v>
      </c>
      <c r="B526" s="6" t="s">
        <v>564</v>
      </c>
      <c r="C526" s="6" t="s">
        <v>9</v>
      </c>
      <c r="D526" s="6" t="s">
        <v>180</v>
      </c>
      <c r="E526" s="6" t="s">
        <v>11</v>
      </c>
      <c r="F526" s="6">
        <v>2</v>
      </c>
      <c r="G526" s="6">
        <v>1134</v>
      </c>
    </row>
    <row r="527" s="2" customFormat="true" ht="22.5" customHeight="true" spans="1:7">
      <c r="A527" s="6">
        <f>525</f>
        <v>525</v>
      </c>
      <c r="B527" s="6" t="s">
        <v>565</v>
      </c>
      <c r="C527" s="6" t="s">
        <v>9</v>
      </c>
      <c r="D527" s="6" t="s">
        <v>202</v>
      </c>
      <c r="E527" s="6" t="s">
        <v>11</v>
      </c>
      <c r="F527" s="6">
        <v>1</v>
      </c>
      <c r="G527" s="6">
        <v>582</v>
      </c>
    </row>
    <row r="528" s="2" customFormat="true" ht="22.5" customHeight="true" spans="1:7">
      <c r="A528" s="6">
        <f>526</f>
        <v>526</v>
      </c>
      <c r="B528" s="6" t="s">
        <v>566</v>
      </c>
      <c r="C528" s="6" t="s">
        <v>9</v>
      </c>
      <c r="D528" s="6" t="s">
        <v>192</v>
      </c>
      <c r="E528" s="6" t="s">
        <v>17</v>
      </c>
      <c r="F528" s="6">
        <v>1</v>
      </c>
      <c r="G528" s="6">
        <v>578</v>
      </c>
    </row>
    <row r="529" s="2" customFormat="true" ht="22.5" customHeight="true" spans="1:7">
      <c r="A529" s="6">
        <f>527</f>
        <v>527</v>
      </c>
      <c r="B529" s="6" t="s">
        <v>567</v>
      </c>
      <c r="C529" s="6" t="s">
        <v>9</v>
      </c>
      <c r="D529" s="6" t="s">
        <v>161</v>
      </c>
      <c r="E529" s="6" t="s">
        <v>17</v>
      </c>
      <c r="F529" s="6">
        <v>2</v>
      </c>
      <c r="G529" s="6">
        <v>1296</v>
      </c>
    </row>
    <row r="530" s="2" customFormat="true" ht="22.5" customHeight="true" spans="1:7">
      <c r="A530" s="6">
        <f>528</f>
        <v>528</v>
      </c>
      <c r="B530" s="6" t="s">
        <v>568</v>
      </c>
      <c r="C530" s="6" t="s">
        <v>9</v>
      </c>
      <c r="D530" s="6" t="s">
        <v>164</v>
      </c>
      <c r="E530" s="6" t="s">
        <v>17</v>
      </c>
      <c r="F530" s="6">
        <v>2</v>
      </c>
      <c r="G530" s="6">
        <v>1116</v>
      </c>
    </row>
    <row r="531" s="2" customFormat="true" ht="22.5" customHeight="true" spans="1:7">
      <c r="A531" s="6">
        <f>529</f>
        <v>529</v>
      </c>
      <c r="B531" s="6" t="s">
        <v>569</v>
      </c>
      <c r="C531" s="6" t="s">
        <v>9</v>
      </c>
      <c r="D531" s="6" t="s">
        <v>131</v>
      </c>
      <c r="E531" s="6" t="s">
        <v>17</v>
      </c>
      <c r="F531" s="6">
        <v>3</v>
      </c>
      <c r="G531" s="6">
        <v>1505</v>
      </c>
    </row>
    <row r="532" s="2" customFormat="true" ht="22.5" customHeight="true" spans="1:7">
      <c r="A532" s="6">
        <f>530</f>
        <v>530</v>
      </c>
      <c r="B532" s="6" t="s">
        <v>570</v>
      </c>
      <c r="C532" s="6" t="s">
        <v>9</v>
      </c>
      <c r="D532" s="6" t="s">
        <v>209</v>
      </c>
      <c r="E532" s="6" t="s">
        <v>17</v>
      </c>
      <c r="F532" s="6">
        <v>1</v>
      </c>
      <c r="G532" s="6">
        <v>626</v>
      </c>
    </row>
    <row r="533" s="2" customFormat="true" ht="22.5" customHeight="true" spans="1:7">
      <c r="A533" s="6">
        <f>531</f>
        <v>531</v>
      </c>
      <c r="B533" s="6" t="s">
        <v>571</v>
      </c>
      <c r="C533" s="6" t="s">
        <v>15</v>
      </c>
      <c r="D533" s="6" t="s">
        <v>117</v>
      </c>
      <c r="E533" s="6" t="s">
        <v>17</v>
      </c>
      <c r="F533" s="6">
        <v>1</v>
      </c>
      <c r="G533" s="6">
        <v>594</v>
      </c>
    </row>
    <row r="534" s="2" customFormat="true" ht="22.5" customHeight="true" spans="1:7">
      <c r="A534" s="6">
        <f>532</f>
        <v>532</v>
      </c>
      <c r="B534" s="6" t="s">
        <v>572</v>
      </c>
      <c r="C534" s="6" t="s">
        <v>9</v>
      </c>
      <c r="D534" s="6" t="s">
        <v>133</v>
      </c>
      <c r="E534" s="6" t="s">
        <v>17</v>
      </c>
      <c r="F534" s="6">
        <v>1</v>
      </c>
      <c r="G534" s="6">
        <v>591</v>
      </c>
    </row>
    <row r="535" s="2" customFormat="true" ht="22.5" customHeight="true" spans="1:7">
      <c r="A535" s="6">
        <f>533</f>
        <v>533</v>
      </c>
      <c r="B535" s="6" t="s">
        <v>573</v>
      </c>
      <c r="C535" s="6" t="s">
        <v>9</v>
      </c>
      <c r="D535" s="6" t="s">
        <v>49</v>
      </c>
      <c r="E535" s="6" t="s">
        <v>79</v>
      </c>
      <c r="F535" s="6">
        <v>1</v>
      </c>
      <c r="G535" s="6">
        <v>471</v>
      </c>
    </row>
    <row r="536" s="2" customFormat="true" ht="22.5" customHeight="true" spans="1:7">
      <c r="A536" s="6">
        <f>534</f>
        <v>534</v>
      </c>
      <c r="B536" s="6" t="s">
        <v>574</v>
      </c>
      <c r="C536" s="6" t="s">
        <v>9</v>
      </c>
      <c r="D536" s="6" t="s">
        <v>131</v>
      </c>
      <c r="E536" s="6" t="s">
        <v>17</v>
      </c>
      <c r="F536" s="6">
        <v>1</v>
      </c>
      <c r="G536" s="6">
        <v>643</v>
      </c>
    </row>
    <row r="537" s="2" customFormat="true" ht="22.5" customHeight="true" spans="1:7">
      <c r="A537" s="6">
        <f>535</f>
        <v>535</v>
      </c>
      <c r="B537" s="6" t="s">
        <v>575</v>
      </c>
      <c r="C537" s="6" t="s">
        <v>9</v>
      </c>
      <c r="D537" s="6" t="s">
        <v>209</v>
      </c>
      <c r="E537" s="6" t="s">
        <v>17</v>
      </c>
      <c r="F537" s="6">
        <v>1</v>
      </c>
      <c r="G537" s="6">
        <v>678</v>
      </c>
    </row>
    <row r="538" s="2" customFormat="true" ht="22.5" customHeight="true" spans="1:7">
      <c r="A538" s="6">
        <f>536</f>
        <v>536</v>
      </c>
      <c r="B538" s="6" t="s">
        <v>576</v>
      </c>
      <c r="C538" s="6" t="s">
        <v>9</v>
      </c>
      <c r="D538" s="6" t="s">
        <v>133</v>
      </c>
      <c r="E538" s="6" t="s">
        <v>17</v>
      </c>
      <c r="F538" s="6">
        <v>1</v>
      </c>
      <c r="G538" s="6">
        <v>657</v>
      </c>
    </row>
    <row r="539" s="2" customFormat="true" ht="22.5" customHeight="true" spans="1:7">
      <c r="A539" s="6">
        <f>537</f>
        <v>537</v>
      </c>
      <c r="B539" s="6" t="s">
        <v>577</v>
      </c>
      <c r="C539" s="6" t="s">
        <v>9</v>
      </c>
      <c r="D539" s="6" t="s">
        <v>67</v>
      </c>
      <c r="E539" s="6" t="s">
        <v>79</v>
      </c>
      <c r="F539" s="6">
        <v>1</v>
      </c>
      <c r="G539" s="6">
        <v>481</v>
      </c>
    </row>
    <row r="540" s="2" customFormat="true" ht="22.5" customHeight="true" spans="1:7">
      <c r="A540" s="6">
        <f>538</f>
        <v>538</v>
      </c>
      <c r="B540" s="6" t="s">
        <v>578</v>
      </c>
      <c r="C540" s="6" t="s">
        <v>9</v>
      </c>
      <c r="D540" s="6" t="s">
        <v>222</v>
      </c>
      <c r="E540" s="6" t="s">
        <v>17</v>
      </c>
      <c r="F540" s="6">
        <v>3</v>
      </c>
      <c r="G540" s="6">
        <v>1745</v>
      </c>
    </row>
    <row r="541" s="2" customFormat="true" ht="22.5" customHeight="true" spans="1:7">
      <c r="A541" s="6">
        <f>539</f>
        <v>539</v>
      </c>
      <c r="B541" s="6" t="s">
        <v>579</v>
      </c>
      <c r="C541" s="6" t="s">
        <v>9</v>
      </c>
      <c r="D541" s="6" t="s">
        <v>122</v>
      </c>
      <c r="E541" s="6" t="s">
        <v>17</v>
      </c>
      <c r="F541" s="6">
        <v>1</v>
      </c>
      <c r="G541" s="6">
        <v>657</v>
      </c>
    </row>
    <row r="542" s="2" customFormat="true" ht="22.5" customHeight="true" spans="1:7">
      <c r="A542" s="6">
        <f>540</f>
        <v>540</v>
      </c>
      <c r="B542" s="6" t="s">
        <v>580</v>
      </c>
      <c r="C542" s="6" t="s">
        <v>9</v>
      </c>
      <c r="D542" s="6" t="s">
        <v>270</v>
      </c>
      <c r="E542" s="6" t="s">
        <v>17</v>
      </c>
      <c r="F542" s="6">
        <v>2</v>
      </c>
      <c r="G542" s="6">
        <v>1031</v>
      </c>
    </row>
    <row r="543" s="2" customFormat="true" ht="22.5" customHeight="true" spans="1:7">
      <c r="A543" s="6">
        <f>541</f>
        <v>541</v>
      </c>
      <c r="B543" s="6" t="s">
        <v>581</v>
      </c>
      <c r="C543" s="6" t="s">
        <v>9</v>
      </c>
      <c r="D543" s="6" t="s">
        <v>169</v>
      </c>
      <c r="E543" s="6" t="s">
        <v>11</v>
      </c>
      <c r="F543" s="6">
        <v>1</v>
      </c>
      <c r="G543" s="6">
        <v>557</v>
      </c>
    </row>
    <row r="544" s="2" customFormat="true" ht="22.5" customHeight="true" spans="1:7">
      <c r="A544" s="6">
        <f>542</f>
        <v>542</v>
      </c>
      <c r="B544" s="6" t="s">
        <v>582</v>
      </c>
      <c r="C544" s="6" t="s">
        <v>9</v>
      </c>
      <c r="D544" s="6" t="s">
        <v>133</v>
      </c>
      <c r="E544" s="6" t="s">
        <v>17</v>
      </c>
      <c r="F544" s="6">
        <v>2</v>
      </c>
      <c r="G544" s="6">
        <v>1071</v>
      </c>
    </row>
    <row r="545" s="2" customFormat="true" ht="22.5" customHeight="true" spans="1:7">
      <c r="A545" s="6">
        <f>543</f>
        <v>543</v>
      </c>
      <c r="B545" s="6" t="s">
        <v>583</v>
      </c>
      <c r="C545" s="6" t="s">
        <v>9</v>
      </c>
      <c r="D545" s="6" t="s">
        <v>129</v>
      </c>
      <c r="E545" s="6" t="s">
        <v>17</v>
      </c>
      <c r="F545" s="6">
        <v>2</v>
      </c>
      <c r="G545" s="6">
        <v>1192</v>
      </c>
    </row>
    <row r="546" s="2" customFormat="true" ht="22.5" customHeight="true" spans="1:7">
      <c r="A546" s="6">
        <f>544</f>
        <v>544</v>
      </c>
      <c r="B546" s="6" t="s">
        <v>584</v>
      </c>
      <c r="C546" s="6" t="s">
        <v>15</v>
      </c>
      <c r="D546" s="6" t="s">
        <v>117</v>
      </c>
      <c r="E546" s="6" t="s">
        <v>17</v>
      </c>
      <c r="F546" s="6">
        <v>1</v>
      </c>
      <c r="G546" s="6">
        <v>678</v>
      </c>
    </row>
    <row r="547" s="2" customFormat="true" ht="22.5" customHeight="true" spans="1:7">
      <c r="A547" s="6">
        <f>545</f>
        <v>545</v>
      </c>
      <c r="B547" s="6" t="s">
        <v>585</v>
      </c>
      <c r="C547" s="6" t="s">
        <v>15</v>
      </c>
      <c r="D547" s="6" t="s">
        <v>13</v>
      </c>
      <c r="E547" s="6" t="s">
        <v>17</v>
      </c>
      <c r="F547" s="6">
        <v>1</v>
      </c>
      <c r="G547" s="6">
        <v>706</v>
      </c>
    </row>
    <row r="548" s="2" customFormat="true" ht="22.5" customHeight="true" spans="1:7">
      <c r="A548" s="6">
        <f>546</f>
        <v>546</v>
      </c>
      <c r="B548" s="6" t="s">
        <v>586</v>
      </c>
      <c r="C548" s="6" t="s">
        <v>9</v>
      </c>
      <c r="D548" s="6" t="s">
        <v>159</v>
      </c>
      <c r="E548" s="6" t="s">
        <v>17</v>
      </c>
      <c r="F548" s="6">
        <v>2</v>
      </c>
      <c r="G548" s="6">
        <v>1393</v>
      </c>
    </row>
    <row r="549" s="2" customFormat="true" ht="22.5" customHeight="true" spans="1:7">
      <c r="A549" s="6">
        <f>547</f>
        <v>547</v>
      </c>
      <c r="B549" s="6" t="s">
        <v>587</v>
      </c>
      <c r="C549" s="6" t="s">
        <v>15</v>
      </c>
      <c r="D549" s="6" t="s">
        <v>131</v>
      </c>
      <c r="E549" s="6" t="s">
        <v>17</v>
      </c>
      <c r="F549" s="6">
        <v>1</v>
      </c>
      <c r="G549" s="6">
        <v>651</v>
      </c>
    </row>
    <row r="550" s="2" customFormat="true" ht="22.5" customHeight="true" spans="1:7">
      <c r="A550" s="6">
        <f>548</f>
        <v>548</v>
      </c>
      <c r="B550" s="6" t="s">
        <v>588</v>
      </c>
      <c r="C550" s="6" t="s">
        <v>15</v>
      </c>
      <c r="D550" s="6" t="s">
        <v>192</v>
      </c>
      <c r="E550" s="6" t="s">
        <v>11</v>
      </c>
      <c r="F550" s="6">
        <v>2</v>
      </c>
      <c r="G550" s="6">
        <v>1304</v>
      </c>
    </row>
    <row r="551" s="2" customFormat="true" ht="22.5" customHeight="true" spans="1:7">
      <c r="A551" s="6">
        <f>549</f>
        <v>549</v>
      </c>
      <c r="B551" s="6" t="s">
        <v>589</v>
      </c>
      <c r="C551" s="6" t="s">
        <v>9</v>
      </c>
      <c r="D551" s="6" t="s">
        <v>131</v>
      </c>
      <c r="E551" s="6" t="s">
        <v>17</v>
      </c>
      <c r="F551" s="6">
        <v>2</v>
      </c>
      <c r="G551" s="6">
        <v>1014</v>
      </c>
    </row>
    <row r="552" s="2" customFormat="true" ht="22.5" customHeight="true" spans="1:7">
      <c r="A552" s="6">
        <f>550</f>
        <v>550</v>
      </c>
      <c r="B552" s="6" t="s">
        <v>590</v>
      </c>
      <c r="C552" s="6" t="s">
        <v>9</v>
      </c>
      <c r="D552" s="6" t="s">
        <v>270</v>
      </c>
      <c r="E552" s="6" t="s">
        <v>17</v>
      </c>
      <c r="F552" s="6">
        <v>1</v>
      </c>
      <c r="G552" s="6">
        <v>637</v>
      </c>
    </row>
    <row r="553" s="2" customFormat="true" ht="22.5" customHeight="true" spans="1:7">
      <c r="A553" s="6">
        <f>551</f>
        <v>551</v>
      </c>
      <c r="B553" s="6" t="s">
        <v>591</v>
      </c>
      <c r="C553" s="6" t="s">
        <v>9</v>
      </c>
      <c r="D553" s="6" t="s">
        <v>270</v>
      </c>
      <c r="E553" s="6" t="s">
        <v>79</v>
      </c>
      <c r="F553" s="6">
        <v>1</v>
      </c>
      <c r="G553" s="6">
        <v>506</v>
      </c>
    </row>
    <row r="554" s="2" customFormat="true" ht="22.5" customHeight="true" spans="1:7">
      <c r="A554" s="6">
        <f>552</f>
        <v>552</v>
      </c>
      <c r="B554" s="6" t="s">
        <v>592</v>
      </c>
      <c r="C554" s="6" t="s">
        <v>15</v>
      </c>
      <c r="D554" s="6" t="s">
        <v>209</v>
      </c>
      <c r="E554" s="6" t="s">
        <v>17</v>
      </c>
      <c r="F554" s="6">
        <v>1</v>
      </c>
      <c r="G554" s="6">
        <v>637</v>
      </c>
    </row>
    <row r="555" s="2" customFormat="true" ht="22.5" customHeight="true" spans="1:7">
      <c r="A555" s="6">
        <f>553</f>
        <v>553</v>
      </c>
      <c r="B555" s="6" t="s">
        <v>593</v>
      </c>
      <c r="C555" s="6" t="s">
        <v>15</v>
      </c>
      <c r="D555" s="6" t="s">
        <v>49</v>
      </c>
      <c r="E555" s="6" t="s">
        <v>11</v>
      </c>
      <c r="F555" s="6">
        <v>1</v>
      </c>
      <c r="G555" s="6">
        <v>609</v>
      </c>
    </row>
    <row r="556" s="2" customFormat="true" ht="22.5" customHeight="true" spans="1:7">
      <c r="A556" s="6">
        <f>554</f>
        <v>554</v>
      </c>
      <c r="B556" s="6" t="s">
        <v>594</v>
      </c>
      <c r="C556" s="6" t="s">
        <v>9</v>
      </c>
      <c r="D556" s="6" t="s">
        <v>117</v>
      </c>
      <c r="E556" s="6" t="s">
        <v>17</v>
      </c>
      <c r="F556" s="6">
        <v>2</v>
      </c>
      <c r="G556" s="6">
        <v>1192</v>
      </c>
    </row>
    <row r="557" s="2" customFormat="true" ht="22.5" customHeight="true" spans="1:7">
      <c r="A557" s="6">
        <f>555</f>
        <v>555</v>
      </c>
      <c r="B557" s="6" t="s">
        <v>595</v>
      </c>
      <c r="C557" s="6" t="s">
        <v>9</v>
      </c>
      <c r="D557" s="6" t="s">
        <v>13</v>
      </c>
      <c r="E557" s="6" t="s">
        <v>17</v>
      </c>
      <c r="F557" s="6">
        <v>1</v>
      </c>
      <c r="G557" s="6">
        <v>471</v>
      </c>
    </row>
    <row r="558" s="2" customFormat="true" ht="22.5" customHeight="true" spans="1:7">
      <c r="A558" s="6">
        <f>556</f>
        <v>556</v>
      </c>
      <c r="B558" s="6" t="s">
        <v>596</v>
      </c>
      <c r="C558" s="6" t="s">
        <v>9</v>
      </c>
      <c r="D558" s="6" t="s">
        <v>129</v>
      </c>
      <c r="E558" s="6" t="s">
        <v>17</v>
      </c>
      <c r="F558" s="6">
        <v>2</v>
      </c>
      <c r="G558" s="6">
        <v>1260</v>
      </c>
    </row>
    <row r="559" s="2" customFormat="true" ht="22.5" customHeight="true" spans="1:7">
      <c r="A559" s="6">
        <f>557</f>
        <v>557</v>
      </c>
      <c r="B559" s="6" t="s">
        <v>597</v>
      </c>
      <c r="C559" s="6" t="s">
        <v>9</v>
      </c>
      <c r="D559" s="6" t="s">
        <v>159</v>
      </c>
      <c r="E559" s="6" t="s">
        <v>17</v>
      </c>
      <c r="F559" s="6">
        <v>3</v>
      </c>
      <c r="G559" s="6">
        <v>1704</v>
      </c>
    </row>
    <row r="560" s="2" customFormat="true" ht="22.5" customHeight="true" spans="1:7">
      <c r="A560" s="6">
        <f>558</f>
        <v>558</v>
      </c>
      <c r="B560" s="6" t="s">
        <v>598</v>
      </c>
      <c r="C560" s="6" t="s">
        <v>15</v>
      </c>
      <c r="D560" s="6" t="s">
        <v>209</v>
      </c>
      <c r="E560" s="6" t="s">
        <v>79</v>
      </c>
      <c r="F560" s="6">
        <v>1</v>
      </c>
      <c r="G560" s="6">
        <v>419</v>
      </c>
    </row>
    <row r="561" s="2" customFormat="true" ht="22.5" customHeight="true" spans="1:7">
      <c r="A561" s="6">
        <f>559</f>
        <v>559</v>
      </c>
      <c r="B561" s="6" t="s">
        <v>599</v>
      </c>
      <c r="C561" s="6" t="s">
        <v>9</v>
      </c>
      <c r="D561" s="6" t="s">
        <v>35</v>
      </c>
      <c r="E561" s="6" t="s">
        <v>17</v>
      </c>
      <c r="F561" s="6">
        <v>2</v>
      </c>
      <c r="G561" s="6">
        <v>1248</v>
      </c>
    </row>
    <row r="562" s="2" customFormat="true" ht="22.5" customHeight="true" spans="1:7">
      <c r="A562" s="6">
        <f>560</f>
        <v>560</v>
      </c>
      <c r="B562" s="6" t="s">
        <v>600</v>
      </c>
      <c r="C562" s="6" t="s">
        <v>9</v>
      </c>
      <c r="D562" s="6" t="s">
        <v>209</v>
      </c>
      <c r="E562" s="6" t="s">
        <v>17</v>
      </c>
      <c r="F562" s="6">
        <v>1</v>
      </c>
      <c r="G562" s="6">
        <v>450</v>
      </c>
    </row>
    <row r="563" s="2" customFormat="true" ht="22.5" customHeight="true" spans="1:7">
      <c r="A563" s="6">
        <f>561</f>
        <v>561</v>
      </c>
      <c r="B563" s="6" t="s">
        <v>601</v>
      </c>
      <c r="C563" s="6" t="s">
        <v>9</v>
      </c>
      <c r="D563" s="6" t="s">
        <v>124</v>
      </c>
      <c r="E563" s="6" t="s">
        <v>17</v>
      </c>
      <c r="F563" s="6">
        <v>1</v>
      </c>
      <c r="G563" s="6">
        <v>624</v>
      </c>
    </row>
    <row r="564" s="2" customFormat="true" ht="22.5" customHeight="true" spans="1:7">
      <c r="A564" s="6">
        <f>562</f>
        <v>562</v>
      </c>
      <c r="B564" s="6" t="s">
        <v>602</v>
      </c>
      <c r="C564" s="6" t="s">
        <v>9</v>
      </c>
      <c r="D564" s="6" t="s">
        <v>122</v>
      </c>
      <c r="E564" s="6" t="s">
        <v>17</v>
      </c>
      <c r="F564" s="6">
        <v>2</v>
      </c>
      <c r="G564" s="6">
        <v>1125</v>
      </c>
    </row>
    <row r="565" s="2" customFormat="true" ht="22.5" customHeight="true" spans="1:7">
      <c r="A565" s="6">
        <f>563</f>
        <v>563</v>
      </c>
      <c r="B565" s="6" t="s">
        <v>603</v>
      </c>
      <c r="C565" s="6" t="s">
        <v>9</v>
      </c>
      <c r="D565" s="6" t="s">
        <v>133</v>
      </c>
      <c r="E565" s="6" t="s">
        <v>79</v>
      </c>
      <c r="F565" s="6">
        <v>1</v>
      </c>
      <c r="G565" s="6">
        <v>411</v>
      </c>
    </row>
    <row r="566" s="2" customFormat="true" ht="22.5" customHeight="true" spans="1:7">
      <c r="A566" s="6">
        <f>564</f>
        <v>564</v>
      </c>
      <c r="B566" s="6" t="s">
        <v>604</v>
      </c>
      <c r="C566" s="6" t="s">
        <v>9</v>
      </c>
      <c r="D566" s="6" t="s">
        <v>16</v>
      </c>
      <c r="E566" s="6" t="s">
        <v>11</v>
      </c>
      <c r="F566" s="6">
        <v>1</v>
      </c>
      <c r="G566" s="6">
        <v>572</v>
      </c>
    </row>
    <row r="567" s="2" customFormat="true" ht="22.5" customHeight="true" spans="1:7">
      <c r="A567" s="6">
        <f>565</f>
        <v>565</v>
      </c>
      <c r="B567" s="6" t="s">
        <v>605</v>
      </c>
      <c r="C567" s="6" t="s">
        <v>9</v>
      </c>
      <c r="D567" s="6" t="s">
        <v>67</v>
      </c>
      <c r="E567" s="6" t="s">
        <v>11</v>
      </c>
      <c r="F567" s="6">
        <v>3</v>
      </c>
      <c r="G567" s="6">
        <v>1779</v>
      </c>
    </row>
    <row r="568" s="2" customFormat="true" ht="22.5" customHeight="true" spans="1:7">
      <c r="A568" s="6">
        <f>566</f>
        <v>566</v>
      </c>
      <c r="B568" s="6" t="s">
        <v>606</v>
      </c>
      <c r="C568" s="6" t="s">
        <v>9</v>
      </c>
      <c r="D568" s="6" t="s">
        <v>416</v>
      </c>
      <c r="E568" s="6" t="s">
        <v>17</v>
      </c>
      <c r="F568" s="6">
        <v>1</v>
      </c>
      <c r="G568" s="6">
        <v>624</v>
      </c>
    </row>
    <row r="569" s="2" customFormat="true" ht="22.5" customHeight="true" spans="1:7">
      <c r="A569" s="6">
        <f>567</f>
        <v>567</v>
      </c>
      <c r="B569" s="6" t="s">
        <v>607</v>
      </c>
      <c r="C569" s="6" t="s">
        <v>15</v>
      </c>
      <c r="D569" s="6" t="s">
        <v>209</v>
      </c>
      <c r="E569" s="6" t="s">
        <v>17</v>
      </c>
      <c r="F569" s="6">
        <v>1</v>
      </c>
      <c r="G569" s="6">
        <v>642</v>
      </c>
    </row>
    <row r="570" s="2" customFormat="true" ht="22.5" customHeight="true" spans="1:7">
      <c r="A570" s="6">
        <f>568</f>
        <v>568</v>
      </c>
      <c r="B570" s="6" t="s">
        <v>608</v>
      </c>
      <c r="C570" s="6" t="s">
        <v>9</v>
      </c>
      <c r="D570" s="6" t="s">
        <v>169</v>
      </c>
      <c r="E570" s="6" t="s">
        <v>17</v>
      </c>
      <c r="F570" s="6">
        <v>2</v>
      </c>
      <c r="G570" s="6">
        <v>1239</v>
      </c>
    </row>
    <row r="571" s="2" customFormat="true" ht="22.5" customHeight="true" spans="1:7">
      <c r="A571" s="6">
        <f>569</f>
        <v>569</v>
      </c>
      <c r="B571" s="6" t="s">
        <v>609</v>
      </c>
      <c r="C571" s="6" t="s">
        <v>15</v>
      </c>
      <c r="D571" s="6" t="s">
        <v>67</v>
      </c>
      <c r="E571" s="6" t="s">
        <v>17</v>
      </c>
      <c r="F571" s="6">
        <v>1</v>
      </c>
      <c r="G571" s="6">
        <v>678</v>
      </c>
    </row>
    <row r="572" s="2" customFormat="true" ht="22.5" customHeight="true" spans="1:7">
      <c r="A572" s="6">
        <f>570</f>
        <v>570</v>
      </c>
      <c r="B572" s="6" t="s">
        <v>610</v>
      </c>
      <c r="C572" s="6" t="s">
        <v>9</v>
      </c>
      <c r="D572" s="6" t="s">
        <v>222</v>
      </c>
      <c r="E572" s="6" t="s">
        <v>79</v>
      </c>
      <c r="F572" s="6">
        <v>2</v>
      </c>
      <c r="G572" s="6">
        <v>982</v>
      </c>
    </row>
    <row r="573" s="2" customFormat="true" ht="22.5" customHeight="true" spans="1:7">
      <c r="A573" s="6">
        <f>571</f>
        <v>571</v>
      </c>
      <c r="B573" s="6" t="s">
        <v>611</v>
      </c>
      <c r="C573" s="6" t="s">
        <v>9</v>
      </c>
      <c r="D573" s="6" t="s">
        <v>239</v>
      </c>
      <c r="E573" s="6" t="s">
        <v>11</v>
      </c>
      <c r="F573" s="6">
        <v>1</v>
      </c>
      <c r="G573" s="6">
        <v>552</v>
      </c>
    </row>
    <row r="574" s="2" customFormat="true" ht="22.5" customHeight="true" spans="1:7">
      <c r="A574" s="6">
        <f>572</f>
        <v>572</v>
      </c>
      <c r="B574" s="6" t="s">
        <v>612</v>
      </c>
      <c r="C574" s="6" t="s">
        <v>9</v>
      </c>
      <c r="D574" s="6" t="s">
        <v>239</v>
      </c>
      <c r="E574" s="6" t="s">
        <v>17</v>
      </c>
      <c r="F574" s="6">
        <v>3</v>
      </c>
      <c r="G574" s="6">
        <v>1632</v>
      </c>
    </row>
    <row r="575" s="2" customFormat="true" ht="22.5" customHeight="true" spans="1:7">
      <c r="A575" s="6">
        <f>573</f>
        <v>573</v>
      </c>
      <c r="B575" s="6" t="s">
        <v>613</v>
      </c>
      <c r="C575" s="6" t="s">
        <v>9</v>
      </c>
      <c r="D575" s="6" t="s">
        <v>270</v>
      </c>
      <c r="E575" s="6" t="s">
        <v>11</v>
      </c>
      <c r="F575" s="6">
        <v>2</v>
      </c>
      <c r="G575" s="6">
        <v>1202</v>
      </c>
    </row>
    <row r="576" s="2" customFormat="true" ht="22.5" customHeight="true" spans="1:7">
      <c r="A576" s="6">
        <f>574</f>
        <v>574</v>
      </c>
      <c r="B576" s="6" t="s">
        <v>614</v>
      </c>
      <c r="C576" s="6" t="s">
        <v>9</v>
      </c>
      <c r="D576" s="6" t="s">
        <v>131</v>
      </c>
      <c r="E576" s="6" t="s">
        <v>17</v>
      </c>
      <c r="F576" s="6">
        <v>1</v>
      </c>
      <c r="G576" s="6">
        <v>513</v>
      </c>
    </row>
    <row r="577" s="2" customFormat="true" ht="22.5" customHeight="true" spans="1:7">
      <c r="A577" s="6">
        <f>575</f>
        <v>575</v>
      </c>
      <c r="B577" s="6" t="s">
        <v>615</v>
      </c>
      <c r="C577" s="6" t="s">
        <v>9</v>
      </c>
      <c r="D577" s="6" t="s">
        <v>185</v>
      </c>
      <c r="E577" s="6" t="s">
        <v>17</v>
      </c>
      <c r="F577" s="6">
        <v>2</v>
      </c>
      <c r="G577" s="6">
        <v>1027</v>
      </c>
    </row>
    <row r="578" s="2" customFormat="true" ht="22.5" customHeight="true" spans="1:7">
      <c r="A578" s="6">
        <f>576</f>
        <v>576</v>
      </c>
      <c r="B578" s="6" t="s">
        <v>616</v>
      </c>
      <c r="C578" s="6" t="s">
        <v>9</v>
      </c>
      <c r="D578" s="6" t="s">
        <v>13</v>
      </c>
      <c r="E578" s="6" t="s">
        <v>11</v>
      </c>
      <c r="F578" s="6">
        <v>1</v>
      </c>
      <c r="G578" s="6">
        <v>597</v>
      </c>
    </row>
    <row r="579" s="2" customFormat="true" ht="22.5" customHeight="true" spans="1:7">
      <c r="A579" s="6">
        <f>577</f>
        <v>577</v>
      </c>
      <c r="B579" s="6" t="s">
        <v>617</v>
      </c>
      <c r="C579" s="6" t="s">
        <v>9</v>
      </c>
      <c r="D579" s="6" t="s">
        <v>230</v>
      </c>
      <c r="E579" s="6" t="s">
        <v>11</v>
      </c>
      <c r="F579" s="6">
        <v>2</v>
      </c>
      <c r="G579" s="6">
        <v>997</v>
      </c>
    </row>
    <row r="580" s="2" customFormat="true" ht="22.5" customHeight="true" spans="1:7">
      <c r="A580" s="6">
        <f>578</f>
        <v>578</v>
      </c>
      <c r="B580" s="6" t="s">
        <v>618</v>
      </c>
      <c r="C580" s="6" t="s">
        <v>9</v>
      </c>
      <c r="D580" s="6" t="s">
        <v>104</v>
      </c>
      <c r="E580" s="6" t="s">
        <v>17</v>
      </c>
      <c r="F580" s="6">
        <v>1</v>
      </c>
      <c r="G580" s="6">
        <v>632</v>
      </c>
    </row>
    <row r="581" s="2" customFormat="true" ht="22.5" customHeight="true" spans="1:7">
      <c r="A581" s="6">
        <f>579</f>
        <v>579</v>
      </c>
      <c r="B581" s="6" t="s">
        <v>619</v>
      </c>
      <c r="C581" s="6" t="s">
        <v>9</v>
      </c>
      <c r="D581" s="6" t="s">
        <v>260</v>
      </c>
      <c r="E581" s="6" t="s">
        <v>79</v>
      </c>
      <c r="F581" s="6">
        <v>1</v>
      </c>
      <c r="G581" s="6">
        <v>419</v>
      </c>
    </row>
    <row r="582" s="2" customFormat="true" ht="22.5" customHeight="true" spans="1:7">
      <c r="A582" s="6">
        <f>580</f>
        <v>580</v>
      </c>
      <c r="B582" s="6" t="s">
        <v>620</v>
      </c>
      <c r="C582" s="6" t="s">
        <v>9</v>
      </c>
      <c r="D582" s="6" t="s">
        <v>192</v>
      </c>
      <c r="E582" s="6" t="s">
        <v>17</v>
      </c>
      <c r="F582" s="6">
        <v>2</v>
      </c>
      <c r="G582" s="6">
        <v>1224</v>
      </c>
    </row>
    <row r="583" s="2" customFormat="true" ht="22.5" customHeight="true" spans="1:7">
      <c r="A583" s="6">
        <f>581</f>
        <v>581</v>
      </c>
      <c r="B583" s="6" t="s">
        <v>621</v>
      </c>
      <c r="C583" s="6" t="s">
        <v>9</v>
      </c>
      <c r="D583" s="6" t="s">
        <v>49</v>
      </c>
      <c r="E583" s="6" t="s">
        <v>11</v>
      </c>
      <c r="F583" s="6">
        <v>1</v>
      </c>
      <c r="G583" s="6">
        <v>597</v>
      </c>
    </row>
    <row r="584" s="2" customFormat="true" ht="22.5" customHeight="true" spans="1:7">
      <c r="A584" s="6">
        <f>582</f>
        <v>582</v>
      </c>
      <c r="B584" s="6" t="s">
        <v>622</v>
      </c>
      <c r="C584" s="6" t="s">
        <v>9</v>
      </c>
      <c r="D584" s="6" t="s">
        <v>185</v>
      </c>
      <c r="E584" s="6" t="s">
        <v>17</v>
      </c>
      <c r="F584" s="6">
        <v>1</v>
      </c>
      <c r="G584" s="6">
        <v>787</v>
      </c>
    </row>
    <row r="585" s="2" customFormat="true" ht="22.5" customHeight="true" spans="1:7">
      <c r="A585" s="6">
        <f>583</f>
        <v>583</v>
      </c>
      <c r="B585" s="6" t="s">
        <v>623</v>
      </c>
      <c r="C585" s="6" t="s">
        <v>15</v>
      </c>
      <c r="D585" s="6" t="s">
        <v>122</v>
      </c>
      <c r="E585" s="6" t="s">
        <v>17</v>
      </c>
      <c r="F585" s="6">
        <v>1</v>
      </c>
      <c r="G585" s="6">
        <v>624</v>
      </c>
    </row>
    <row r="586" s="2" customFormat="true" ht="22.5" customHeight="true" spans="1:7">
      <c r="A586" s="6">
        <f>584</f>
        <v>584</v>
      </c>
      <c r="B586" s="6" t="s">
        <v>624</v>
      </c>
      <c r="C586" s="6" t="s">
        <v>9</v>
      </c>
      <c r="D586" s="6" t="s">
        <v>129</v>
      </c>
      <c r="E586" s="6" t="s">
        <v>79</v>
      </c>
      <c r="F586" s="6">
        <v>2</v>
      </c>
      <c r="G586" s="6">
        <v>838</v>
      </c>
    </row>
    <row r="587" s="2" customFormat="true" ht="22.5" customHeight="true" spans="1:7">
      <c r="A587" s="6">
        <f>585</f>
        <v>585</v>
      </c>
      <c r="B587" s="6" t="s">
        <v>625</v>
      </c>
      <c r="C587" s="6" t="s">
        <v>9</v>
      </c>
      <c r="D587" s="6" t="s">
        <v>161</v>
      </c>
      <c r="E587" s="6" t="s">
        <v>17</v>
      </c>
      <c r="F587" s="6">
        <v>1</v>
      </c>
      <c r="G587" s="6">
        <v>657</v>
      </c>
    </row>
    <row r="588" s="2" customFormat="true" ht="22.5" customHeight="true" spans="1:7">
      <c r="A588" s="6">
        <f>586</f>
        <v>586</v>
      </c>
      <c r="B588" s="6" t="s">
        <v>626</v>
      </c>
      <c r="C588" s="6" t="s">
        <v>9</v>
      </c>
      <c r="D588" s="6" t="s">
        <v>280</v>
      </c>
      <c r="E588" s="6" t="s">
        <v>17</v>
      </c>
      <c r="F588" s="6">
        <v>1</v>
      </c>
      <c r="G588" s="6">
        <v>644</v>
      </c>
    </row>
    <row r="589" s="2" customFormat="true" ht="22.5" customHeight="true" spans="1:7">
      <c r="A589" s="6">
        <f>587</f>
        <v>587</v>
      </c>
      <c r="B589" s="6" t="s">
        <v>627</v>
      </c>
      <c r="C589" s="6" t="s">
        <v>9</v>
      </c>
      <c r="D589" s="6" t="s">
        <v>182</v>
      </c>
      <c r="E589" s="6" t="s">
        <v>79</v>
      </c>
      <c r="F589" s="6">
        <v>1</v>
      </c>
      <c r="G589" s="6">
        <v>595</v>
      </c>
    </row>
    <row r="590" s="2" customFormat="true" ht="22.5" customHeight="true" spans="1:7">
      <c r="A590" s="6">
        <f>588</f>
        <v>588</v>
      </c>
      <c r="B590" s="6" t="s">
        <v>628</v>
      </c>
      <c r="C590" s="6" t="s">
        <v>9</v>
      </c>
      <c r="D590" s="6" t="s">
        <v>222</v>
      </c>
      <c r="E590" s="6" t="s">
        <v>11</v>
      </c>
      <c r="F590" s="6">
        <v>2</v>
      </c>
      <c r="G590" s="6">
        <v>1134</v>
      </c>
    </row>
    <row r="591" s="2" customFormat="true" ht="22.5" customHeight="true" spans="1:7">
      <c r="A591" s="6">
        <f>589</f>
        <v>589</v>
      </c>
      <c r="B591" s="6" t="s">
        <v>629</v>
      </c>
      <c r="C591" s="6" t="s">
        <v>9</v>
      </c>
      <c r="D591" s="6" t="s">
        <v>129</v>
      </c>
      <c r="E591" s="6" t="s">
        <v>17</v>
      </c>
      <c r="F591" s="6">
        <v>2</v>
      </c>
      <c r="G591" s="6">
        <v>1073</v>
      </c>
    </row>
    <row r="592" s="2" customFormat="true" ht="22.5" customHeight="true" spans="1:7">
      <c r="A592" s="6">
        <f>590</f>
        <v>590</v>
      </c>
      <c r="B592" s="6" t="s">
        <v>630</v>
      </c>
      <c r="C592" s="6" t="s">
        <v>9</v>
      </c>
      <c r="D592" s="6" t="s">
        <v>230</v>
      </c>
      <c r="E592" s="6" t="s">
        <v>17</v>
      </c>
      <c r="F592" s="6">
        <v>3</v>
      </c>
      <c r="G592" s="6">
        <v>1690</v>
      </c>
    </row>
    <row r="593" s="2" customFormat="true" ht="22.5" customHeight="true" spans="1:7">
      <c r="A593" s="6">
        <f>591</f>
        <v>591</v>
      </c>
      <c r="B593" s="6" t="s">
        <v>631</v>
      </c>
      <c r="C593" s="6" t="s">
        <v>9</v>
      </c>
      <c r="D593" s="6" t="s">
        <v>67</v>
      </c>
      <c r="E593" s="6" t="s">
        <v>17</v>
      </c>
      <c r="F593" s="6">
        <v>2</v>
      </c>
      <c r="G593" s="6">
        <v>854</v>
      </c>
    </row>
    <row r="594" s="2" customFormat="true" ht="22.5" customHeight="true" spans="1:7">
      <c r="A594" s="6">
        <f>592</f>
        <v>592</v>
      </c>
      <c r="B594" s="6" t="s">
        <v>632</v>
      </c>
      <c r="C594" s="6" t="s">
        <v>9</v>
      </c>
      <c r="D594" s="6" t="s">
        <v>180</v>
      </c>
      <c r="E594" s="6" t="s">
        <v>17</v>
      </c>
      <c r="F594" s="6">
        <v>2</v>
      </c>
      <c r="G594" s="6">
        <v>1177</v>
      </c>
    </row>
    <row r="595" s="2" customFormat="true" ht="22.5" customHeight="true" spans="1:7">
      <c r="A595" s="6">
        <f>593</f>
        <v>593</v>
      </c>
      <c r="B595" s="6" t="s">
        <v>633</v>
      </c>
      <c r="C595" s="6" t="s">
        <v>9</v>
      </c>
      <c r="D595" s="6" t="s">
        <v>209</v>
      </c>
      <c r="E595" s="6" t="s">
        <v>11</v>
      </c>
      <c r="F595" s="6">
        <v>1</v>
      </c>
      <c r="G595" s="6">
        <v>582</v>
      </c>
    </row>
    <row r="596" s="2" customFormat="true" ht="22.5" customHeight="true" spans="1:7">
      <c r="A596" s="6">
        <f>594</f>
        <v>594</v>
      </c>
      <c r="B596" s="6" t="s">
        <v>634</v>
      </c>
      <c r="C596" s="6" t="s">
        <v>9</v>
      </c>
      <c r="D596" s="6" t="s">
        <v>129</v>
      </c>
      <c r="E596" s="6" t="s">
        <v>17</v>
      </c>
      <c r="F596" s="6">
        <v>4</v>
      </c>
      <c r="G596" s="6">
        <v>1953</v>
      </c>
    </row>
    <row r="597" s="2" customFormat="true" ht="22.5" customHeight="true" spans="1:7">
      <c r="A597" s="6">
        <f>595</f>
        <v>595</v>
      </c>
      <c r="B597" s="6" t="s">
        <v>635</v>
      </c>
      <c r="C597" s="6" t="s">
        <v>9</v>
      </c>
      <c r="D597" s="6" t="s">
        <v>138</v>
      </c>
      <c r="E597" s="6" t="s">
        <v>11</v>
      </c>
      <c r="F597" s="6">
        <v>2</v>
      </c>
      <c r="G597" s="6">
        <v>871</v>
      </c>
    </row>
    <row r="598" s="2" customFormat="true" ht="22.5" customHeight="true" spans="1:7">
      <c r="A598" s="6">
        <f>596</f>
        <v>596</v>
      </c>
      <c r="B598" s="6" t="s">
        <v>636</v>
      </c>
      <c r="C598" s="6" t="s">
        <v>9</v>
      </c>
      <c r="D598" s="6" t="s">
        <v>136</v>
      </c>
      <c r="E598" s="6" t="s">
        <v>17</v>
      </c>
      <c r="F598" s="6">
        <v>1</v>
      </c>
      <c r="G598" s="6">
        <v>729</v>
      </c>
    </row>
    <row r="599" s="2" customFormat="true" ht="22.5" customHeight="true" spans="1:7">
      <c r="A599" s="6">
        <f>597</f>
        <v>597</v>
      </c>
      <c r="B599" s="6" t="s">
        <v>637</v>
      </c>
      <c r="C599" s="6" t="s">
        <v>9</v>
      </c>
      <c r="D599" s="6" t="s">
        <v>239</v>
      </c>
      <c r="E599" s="6" t="s">
        <v>17</v>
      </c>
      <c r="F599" s="6">
        <v>2</v>
      </c>
      <c r="G599" s="6">
        <v>1412</v>
      </c>
    </row>
    <row r="600" s="2" customFormat="true" ht="22.5" customHeight="true" spans="1:7">
      <c r="A600" s="6">
        <f>598</f>
        <v>598</v>
      </c>
      <c r="B600" s="6" t="s">
        <v>638</v>
      </c>
      <c r="C600" s="6" t="s">
        <v>9</v>
      </c>
      <c r="D600" s="6" t="s">
        <v>239</v>
      </c>
      <c r="E600" s="6" t="s">
        <v>17</v>
      </c>
      <c r="F600" s="6">
        <v>2</v>
      </c>
      <c r="G600" s="6">
        <v>1179</v>
      </c>
    </row>
    <row r="601" s="2" customFormat="true" ht="22.5" customHeight="true" spans="1:7">
      <c r="A601" s="6">
        <f>599</f>
        <v>599</v>
      </c>
      <c r="B601" s="6" t="s">
        <v>639</v>
      </c>
      <c r="C601" s="6" t="s">
        <v>15</v>
      </c>
      <c r="D601" s="6" t="s">
        <v>133</v>
      </c>
      <c r="E601" s="6" t="s">
        <v>17</v>
      </c>
      <c r="F601" s="6">
        <v>1</v>
      </c>
      <c r="G601" s="6">
        <v>568</v>
      </c>
    </row>
    <row r="602" s="2" customFormat="true" ht="22.5" customHeight="true" spans="1:7">
      <c r="A602" s="6">
        <f>600</f>
        <v>600</v>
      </c>
      <c r="B602" s="6" t="s">
        <v>640</v>
      </c>
      <c r="C602" s="6" t="s">
        <v>9</v>
      </c>
      <c r="D602" s="6" t="s">
        <v>185</v>
      </c>
      <c r="E602" s="6" t="s">
        <v>11</v>
      </c>
      <c r="F602" s="6">
        <v>2</v>
      </c>
      <c r="G602" s="6">
        <v>997</v>
      </c>
    </row>
    <row r="603" s="2" customFormat="true" ht="22.5" customHeight="true" spans="1:7">
      <c r="A603" s="6">
        <f>601</f>
        <v>601</v>
      </c>
      <c r="B603" s="6" t="s">
        <v>641</v>
      </c>
      <c r="C603" s="6" t="s">
        <v>9</v>
      </c>
      <c r="D603" s="6" t="s">
        <v>131</v>
      </c>
      <c r="E603" s="6" t="s">
        <v>17</v>
      </c>
      <c r="F603" s="6">
        <v>1</v>
      </c>
      <c r="G603" s="6">
        <v>637</v>
      </c>
    </row>
    <row r="604" s="2" customFormat="true" ht="22.5" customHeight="true" spans="1:7">
      <c r="A604" s="6">
        <f>602</f>
        <v>602</v>
      </c>
      <c r="B604" s="6" t="s">
        <v>642</v>
      </c>
      <c r="C604" s="6" t="s">
        <v>9</v>
      </c>
      <c r="D604" s="6" t="s">
        <v>146</v>
      </c>
      <c r="E604" s="6" t="s">
        <v>17</v>
      </c>
      <c r="F604" s="6">
        <v>2</v>
      </c>
      <c r="G604" s="6">
        <v>1025</v>
      </c>
    </row>
    <row r="605" s="2" customFormat="true" ht="22.5" customHeight="true" spans="1:7">
      <c r="A605" s="6">
        <f>603</f>
        <v>603</v>
      </c>
      <c r="B605" s="6" t="s">
        <v>643</v>
      </c>
      <c r="C605" s="6" t="s">
        <v>9</v>
      </c>
      <c r="D605" s="6" t="s">
        <v>185</v>
      </c>
      <c r="E605" s="6" t="s">
        <v>17</v>
      </c>
      <c r="F605" s="6">
        <v>1</v>
      </c>
      <c r="G605" s="6">
        <v>711</v>
      </c>
    </row>
    <row r="606" s="2" customFormat="true" ht="22.5" customHeight="true" spans="1:7">
      <c r="A606" s="6">
        <f>604</f>
        <v>604</v>
      </c>
      <c r="B606" s="6" t="s">
        <v>644</v>
      </c>
      <c r="C606" s="6" t="s">
        <v>9</v>
      </c>
      <c r="D606" s="6" t="s">
        <v>169</v>
      </c>
      <c r="E606" s="6" t="s">
        <v>17</v>
      </c>
      <c r="F606" s="6">
        <v>2</v>
      </c>
      <c r="G606" s="6">
        <v>947</v>
      </c>
    </row>
    <row r="607" s="2" customFormat="true" ht="22.5" customHeight="true" spans="1:7">
      <c r="A607" s="6">
        <f>605</f>
        <v>605</v>
      </c>
      <c r="B607" s="6" t="s">
        <v>645</v>
      </c>
      <c r="C607" s="6" t="s">
        <v>9</v>
      </c>
      <c r="D607" s="6" t="s">
        <v>167</v>
      </c>
      <c r="E607" s="6" t="s">
        <v>17</v>
      </c>
      <c r="F607" s="6">
        <v>1</v>
      </c>
      <c r="G607" s="6">
        <v>632</v>
      </c>
    </row>
    <row r="608" s="2" customFormat="true" ht="22.5" customHeight="true" spans="1:7">
      <c r="A608" s="6">
        <f>606</f>
        <v>606</v>
      </c>
      <c r="B608" s="6" t="s">
        <v>646</v>
      </c>
      <c r="C608" s="6" t="s">
        <v>9</v>
      </c>
      <c r="D608" s="6" t="s">
        <v>146</v>
      </c>
      <c r="E608" s="6" t="s">
        <v>11</v>
      </c>
      <c r="F608" s="6">
        <v>2</v>
      </c>
      <c r="G608" s="6">
        <v>1025</v>
      </c>
    </row>
    <row r="609" s="2" customFormat="true" ht="22.5" customHeight="true" spans="1:7">
      <c r="A609" s="6">
        <f>607</f>
        <v>607</v>
      </c>
      <c r="B609" s="6" t="s">
        <v>647</v>
      </c>
      <c r="C609" s="6" t="s">
        <v>15</v>
      </c>
      <c r="D609" s="6" t="s">
        <v>239</v>
      </c>
      <c r="E609" s="6" t="s">
        <v>17</v>
      </c>
      <c r="F609" s="6">
        <v>1</v>
      </c>
      <c r="G609" s="6">
        <v>664</v>
      </c>
    </row>
    <row r="610" s="2" customFormat="true" ht="22.5" customHeight="true" spans="1:7">
      <c r="A610" s="6">
        <f>608</f>
        <v>608</v>
      </c>
      <c r="B610" s="6" t="s">
        <v>648</v>
      </c>
      <c r="C610" s="6" t="s">
        <v>9</v>
      </c>
      <c r="D610" s="6" t="s">
        <v>136</v>
      </c>
      <c r="E610" s="6" t="s">
        <v>17</v>
      </c>
      <c r="F610" s="6">
        <v>1</v>
      </c>
      <c r="G610" s="6">
        <v>620</v>
      </c>
    </row>
    <row r="611" s="2" customFormat="true" ht="22.5" customHeight="true" spans="1:7">
      <c r="A611" s="6">
        <f>609</f>
        <v>609</v>
      </c>
      <c r="B611" s="6" t="s">
        <v>649</v>
      </c>
      <c r="C611" s="6" t="s">
        <v>9</v>
      </c>
      <c r="D611" s="6" t="s">
        <v>182</v>
      </c>
      <c r="E611" s="6" t="s">
        <v>17</v>
      </c>
      <c r="F611" s="6">
        <v>1</v>
      </c>
      <c r="G611" s="6">
        <v>681</v>
      </c>
    </row>
    <row r="612" s="2" customFormat="true" ht="22.5" customHeight="true" spans="1:7">
      <c r="A612" s="6">
        <f>610</f>
        <v>610</v>
      </c>
      <c r="B612" s="6" t="s">
        <v>650</v>
      </c>
      <c r="C612" s="6" t="s">
        <v>15</v>
      </c>
      <c r="D612" s="6" t="s">
        <v>122</v>
      </c>
      <c r="E612" s="6" t="s">
        <v>11</v>
      </c>
      <c r="F612" s="6">
        <v>2</v>
      </c>
      <c r="G612" s="6">
        <v>1278</v>
      </c>
    </row>
    <row r="613" s="2" customFormat="true" ht="22.5" customHeight="true" spans="1:7">
      <c r="A613" s="6">
        <f>611</f>
        <v>611</v>
      </c>
      <c r="B613" s="6" t="s">
        <v>651</v>
      </c>
      <c r="C613" s="6" t="s">
        <v>9</v>
      </c>
      <c r="D613" s="6" t="s">
        <v>131</v>
      </c>
      <c r="E613" s="6" t="s">
        <v>11</v>
      </c>
      <c r="F613" s="6">
        <v>1</v>
      </c>
      <c r="G613" s="6">
        <v>561</v>
      </c>
    </row>
    <row r="614" s="2" customFormat="true" ht="22.5" customHeight="true" spans="1:7">
      <c r="A614" s="6">
        <f>612</f>
        <v>612</v>
      </c>
      <c r="B614" s="6" t="s">
        <v>652</v>
      </c>
      <c r="C614" s="6" t="s">
        <v>9</v>
      </c>
      <c r="D614" s="6" t="s">
        <v>180</v>
      </c>
      <c r="E614" s="6" t="s">
        <v>17</v>
      </c>
      <c r="F614" s="6">
        <v>1</v>
      </c>
      <c r="G614" s="6">
        <v>657</v>
      </c>
    </row>
    <row r="615" s="2" customFormat="true" ht="22.5" customHeight="true" spans="1:7">
      <c r="A615" s="6">
        <f>613</f>
        <v>613</v>
      </c>
      <c r="B615" s="6" t="s">
        <v>653</v>
      </c>
      <c r="C615" s="6" t="s">
        <v>9</v>
      </c>
      <c r="D615" s="6" t="s">
        <v>104</v>
      </c>
      <c r="E615" s="6" t="s">
        <v>17</v>
      </c>
      <c r="F615" s="6">
        <v>2</v>
      </c>
      <c r="G615" s="6">
        <v>1041</v>
      </c>
    </row>
    <row r="616" s="2" customFormat="true" ht="22.5" customHeight="true" spans="1:7">
      <c r="A616" s="6">
        <f>614</f>
        <v>614</v>
      </c>
      <c r="B616" s="6" t="s">
        <v>654</v>
      </c>
      <c r="C616" s="6" t="s">
        <v>9</v>
      </c>
      <c r="D616" s="6" t="s">
        <v>131</v>
      </c>
      <c r="E616" s="6" t="s">
        <v>11</v>
      </c>
      <c r="F616" s="6">
        <v>2</v>
      </c>
      <c r="G616" s="6">
        <v>996</v>
      </c>
    </row>
    <row r="617" s="2" customFormat="true" ht="22.5" customHeight="true" spans="1:7">
      <c r="A617" s="6">
        <f>615</f>
        <v>615</v>
      </c>
      <c r="B617" s="6" t="s">
        <v>655</v>
      </c>
      <c r="C617" s="6" t="s">
        <v>9</v>
      </c>
      <c r="D617" s="6" t="s">
        <v>185</v>
      </c>
      <c r="E617" s="6" t="s">
        <v>17</v>
      </c>
      <c r="F617" s="6">
        <v>1</v>
      </c>
      <c r="G617" s="6">
        <v>571</v>
      </c>
    </row>
    <row r="618" s="2" customFormat="true" ht="22.5" customHeight="true" spans="1:7">
      <c r="A618" s="6">
        <f>616</f>
        <v>616</v>
      </c>
      <c r="B618" s="6" t="s">
        <v>656</v>
      </c>
      <c r="C618" s="6" t="s">
        <v>9</v>
      </c>
      <c r="D618" s="6" t="s">
        <v>129</v>
      </c>
      <c r="E618" s="6" t="s">
        <v>17</v>
      </c>
      <c r="F618" s="6">
        <v>3</v>
      </c>
      <c r="G618" s="6">
        <v>1534</v>
      </c>
    </row>
    <row r="619" s="2" customFormat="true" ht="22.5" customHeight="true" spans="1:7">
      <c r="A619" s="6">
        <f>617</f>
        <v>617</v>
      </c>
      <c r="B619" s="6" t="s">
        <v>657</v>
      </c>
      <c r="C619" s="6" t="s">
        <v>15</v>
      </c>
      <c r="D619" s="6" t="s">
        <v>202</v>
      </c>
      <c r="E619" s="6" t="s">
        <v>17</v>
      </c>
      <c r="F619" s="6">
        <v>1</v>
      </c>
      <c r="G619" s="6">
        <v>630</v>
      </c>
    </row>
    <row r="620" s="2" customFormat="true" ht="22.5" customHeight="true" spans="1:7">
      <c r="A620" s="6">
        <f>618</f>
        <v>618</v>
      </c>
      <c r="B620" s="6" t="s">
        <v>658</v>
      </c>
      <c r="C620" s="6" t="s">
        <v>9</v>
      </c>
      <c r="D620" s="6" t="s">
        <v>270</v>
      </c>
      <c r="E620" s="6" t="s">
        <v>17</v>
      </c>
      <c r="F620" s="6">
        <v>2</v>
      </c>
      <c r="G620" s="6">
        <v>1025</v>
      </c>
    </row>
    <row r="621" s="2" customFormat="true" ht="22.5" customHeight="true" spans="1:7">
      <c r="A621" s="6">
        <f>619</f>
        <v>619</v>
      </c>
      <c r="B621" s="6" t="s">
        <v>659</v>
      </c>
      <c r="C621" s="6" t="s">
        <v>9</v>
      </c>
      <c r="D621" s="6" t="s">
        <v>146</v>
      </c>
      <c r="E621" s="6" t="s">
        <v>17</v>
      </c>
      <c r="F621" s="6">
        <v>2</v>
      </c>
      <c r="G621" s="6">
        <v>1165</v>
      </c>
    </row>
    <row r="622" s="2" customFormat="true" ht="22.5" customHeight="true" spans="1:7">
      <c r="A622" s="6">
        <f>620</f>
        <v>620</v>
      </c>
      <c r="B622" s="6" t="s">
        <v>660</v>
      </c>
      <c r="C622" s="6" t="s">
        <v>9</v>
      </c>
      <c r="D622" s="6" t="s">
        <v>270</v>
      </c>
      <c r="E622" s="6" t="s">
        <v>11</v>
      </c>
      <c r="F622" s="6">
        <v>4</v>
      </c>
      <c r="G622" s="6">
        <v>2227</v>
      </c>
    </row>
    <row r="623" s="2" customFormat="true" ht="22.5" customHeight="true" spans="1:7">
      <c r="A623" s="6">
        <f>621</f>
        <v>621</v>
      </c>
      <c r="B623" s="6" t="s">
        <v>661</v>
      </c>
      <c r="C623" s="6" t="s">
        <v>15</v>
      </c>
      <c r="D623" s="6" t="s">
        <v>209</v>
      </c>
      <c r="E623" s="6" t="s">
        <v>79</v>
      </c>
      <c r="F623" s="6">
        <v>1</v>
      </c>
      <c r="G623" s="6">
        <v>416</v>
      </c>
    </row>
    <row r="624" s="2" customFormat="true" ht="22.5" customHeight="true" spans="1:7">
      <c r="A624" s="6">
        <f>622</f>
        <v>622</v>
      </c>
      <c r="B624" s="6" t="s">
        <v>662</v>
      </c>
      <c r="C624" s="6" t="s">
        <v>9</v>
      </c>
      <c r="D624" s="6" t="s">
        <v>180</v>
      </c>
      <c r="E624" s="6" t="s">
        <v>17</v>
      </c>
      <c r="F624" s="6">
        <v>1</v>
      </c>
      <c r="G624" s="6">
        <v>558</v>
      </c>
    </row>
    <row r="625" s="2" customFormat="true" ht="22.5" customHeight="true" spans="1:7">
      <c r="A625" s="6">
        <f>623</f>
        <v>623</v>
      </c>
      <c r="B625" s="6" t="s">
        <v>663</v>
      </c>
      <c r="C625" s="6" t="s">
        <v>9</v>
      </c>
      <c r="D625" s="6" t="s">
        <v>169</v>
      </c>
      <c r="E625" s="6" t="s">
        <v>17</v>
      </c>
      <c r="F625" s="6">
        <v>2</v>
      </c>
      <c r="G625" s="6">
        <v>1013</v>
      </c>
    </row>
    <row r="626" s="2" customFormat="true" ht="22.5" customHeight="true" spans="1:7">
      <c r="A626" s="6">
        <f>624</f>
        <v>624</v>
      </c>
      <c r="B626" s="6" t="s">
        <v>664</v>
      </c>
      <c r="C626" s="6" t="s">
        <v>9</v>
      </c>
      <c r="D626" s="6" t="s">
        <v>192</v>
      </c>
      <c r="E626" s="6" t="s">
        <v>17</v>
      </c>
      <c r="F626" s="6">
        <v>4</v>
      </c>
      <c r="G626" s="6">
        <v>2289</v>
      </c>
    </row>
    <row r="627" s="2" customFormat="true" ht="22.5" customHeight="true" spans="1:7">
      <c r="A627" s="6">
        <f>625</f>
        <v>625</v>
      </c>
      <c r="B627" s="6" t="s">
        <v>665</v>
      </c>
      <c r="C627" s="6" t="s">
        <v>9</v>
      </c>
      <c r="D627" s="6" t="s">
        <v>169</v>
      </c>
      <c r="E627" s="6" t="s">
        <v>17</v>
      </c>
      <c r="F627" s="6">
        <v>3</v>
      </c>
      <c r="G627" s="6">
        <v>1645</v>
      </c>
    </row>
    <row r="628" s="2" customFormat="true" ht="22.5" customHeight="true" spans="1:7">
      <c r="A628" s="6">
        <f>626</f>
        <v>626</v>
      </c>
      <c r="B628" s="6" t="s">
        <v>666</v>
      </c>
      <c r="C628" s="6" t="s">
        <v>9</v>
      </c>
      <c r="D628" s="6" t="s">
        <v>182</v>
      </c>
      <c r="E628" s="6" t="s">
        <v>17</v>
      </c>
      <c r="F628" s="6">
        <v>1</v>
      </c>
      <c r="G628" s="6">
        <v>647</v>
      </c>
    </row>
    <row r="629" s="2" customFormat="true" ht="22.5" customHeight="true" spans="1:7">
      <c r="A629" s="6">
        <f>627</f>
        <v>627</v>
      </c>
      <c r="B629" s="6" t="s">
        <v>667</v>
      </c>
      <c r="C629" s="6" t="s">
        <v>9</v>
      </c>
      <c r="D629" s="6" t="s">
        <v>182</v>
      </c>
      <c r="E629" s="6" t="s">
        <v>17</v>
      </c>
      <c r="F629" s="6">
        <v>1</v>
      </c>
      <c r="G629" s="6">
        <v>632</v>
      </c>
    </row>
    <row r="630" s="2" customFormat="true" ht="22.5" customHeight="true" spans="1:7">
      <c r="A630" s="6">
        <f>628</f>
        <v>628</v>
      </c>
      <c r="B630" s="6" t="s">
        <v>516</v>
      </c>
      <c r="C630" s="6" t="s">
        <v>9</v>
      </c>
      <c r="D630" s="6" t="s">
        <v>146</v>
      </c>
      <c r="E630" s="6" t="s">
        <v>17</v>
      </c>
      <c r="F630" s="6">
        <v>2</v>
      </c>
      <c r="G630" s="6">
        <v>1099</v>
      </c>
    </row>
    <row r="631" s="2" customFormat="true" ht="22.5" customHeight="true" spans="1:7">
      <c r="A631" s="6">
        <f>629</f>
        <v>629</v>
      </c>
      <c r="B631" s="6" t="s">
        <v>668</v>
      </c>
      <c r="C631" s="6" t="s">
        <v>9</v>
      </c>
      <c r="D631" s="6" t="s">
        <v>260</v>
      </c>
      <c r="E631" s="6" t="s">
        <v>17</v>
      </c>
      <c r="F631" s="6">
        <v>2</v>
      </c>
      <c r="G631" s="6">
        <v>1185</v>
      </c>
    </row>
    <row r="632" s="2" customFormat="true" ht="22.5" customHeight="true" spans="1:7">
      <c r="A632" s="6">
        <f>630</f>
        <v>630</v>
      </c>
      <c r="B632" s="6" t="s">
        <v>669</v>
      </c>
      <c r="C632" s="6" t="s">
        <v>9</v>
      </c>
      <c r="D632" s="6" t="s">
        <v>117</v>
      </c>
      <c r="E632" s="6" t="s">
        <v>11</v>
      </c>
      <c r="F632" s="6">
        <v>3</v>
      </c>
      <c r="G632" s="6">
        <v>1556</v>
      </c>
    </row>
    <row r="633" s="2" customFormat="true" ht="22.5" customHeight="true" spans="1:7">
      <c r="A633" s="6">
        <f>631</f>
        <v>631</v>
      </c>
      <c r="B633" s="6" t="s">
        <v>670</v>
      </c>
      <c r="C633" s="6" t="s">
        <v>9</v>
      </c>
      <c r="D633" s="6" t="s">
        <v>239</v>
      </c>
      <c r="E633" s="6" t="s">
        <v>11</v>
      </c>
      <c r="F633" s="6">
        <v>2</v>
      </c>
      <c r="G633" s="6">
        <v>902</v>
      </c>
    </row>
    <row r="634" s="2" customFormat="true" ht="22.5" customHeight="true" spans="1:7">
      <c r="A634" s="6">
        <f>632</f>
        <v>632</v>
      </c>
      <c r="B634" s="6" t="s">
        <v>671</v>
      </c>
      <c r="C634" s="6" t="s">
        <v>9</v>
      </c>
      <c r="D634" s="6" t="s">
        <v>67</v>
      </c>
      <c r="E634" s="6" t="s">
        <v>17</v>
      </c>
      <c r="F634" s="6">
        <v>1</v>
      </c>
      <c r="G634" s="6">
        <v>664</v>
      </c>
    </row>
    <row r="635" s="2" customFormat="true" ht="22.5" customHeight="true" spans="1:7">
      <c r="A635" s="6">
        <f>633</f>
        <v>633</v>
      </c>
      <c r="B635" s="6" t="s">
        <v>672</v>
      </c>
      <c r="C635" s="6" t="s">
        <v>9</v>
      </c>
      <c r="D635" s="6" t="s">
        <v>136</v>
      </c>
      <c r="E635" s="6" t="s">
        <v>17</v>
      </c>
      <c r="F635" s="6">
        <v>2</v>
      </c>
      <c r="G635" s="6">
        <v>1103</v>
      </c>
    </row>
    <row r="636" s="2" customFormat="true" ht="22.5" customHeight="true" spans="1:7">
      <c r="A636" s="6">
        <f>634</f>
        <v>634</v>
      </c>
      <c r="B636" s="6" t="s">
        <v>673</v>
      </c>
      <c r="C636" s="6" t="s">
        <v>9</v>
      </c>
      <c r="D636" s="6" t="s">
        <v>169</v>
      </c>
      <c r="E636" s="6" t="s">
        <v>17</v>
      </c>
      <c r="F636" s="6">
        <v>2</v>
      </c>
      <c r="G636" s="6">
        <v>1266</v>
      </c>
    </row>
    <row r="637" s="2" customFormat="true" ht="22.5" customHeight="true" spans="1:7">
      <c r="A637" s="6">
        <f>635</f>
        <v>635</v>
      </c>
      <c r="B637" s="6" t="s">
        <v>674</v>
      </c>
      <c r="C637" s="6" t="s">
        <v>15</v>
      </c>
      <c r="D637" s="6" t="s">
        <v>117</v>
      </c>
      <c r="E637" s="6" t="s">
        <v>17</v>
      </c>
      <c r="F637" s="6">
        <v>1</v>
      </c>
      <c r="G637" s="6">
        <v>639</v>
      </c>
    </row>
    <row r="638" s="2" customFormat="true" ht="22.5" customHeight="true" spans="1:7">
      <c r="A638" s="6">
        <f>636</f>
        <v>636</v>
      </c>
      <c r="B638" s="6" t="s">
        <v>675</v>
      </c>
      <c r="C638" s="6" t="s">
        <v>9</v>
      </c>
      <c r="D638" s="6" t="s">
        <v>169</v>
      </c>
      <c r="E638" s="6" t="s">
        <v>17</v>
      </c>
      <c r="F638" s="6">
        <v>2</v>
      </c>
      <c r="G638" s="6">
        <v>904</v>
      </c>
    </row>
    <row r="639" s="2" customFormat="true" ht="22.5" customHeight="true" spans="1:7">
      <c r="A639" s="6">
        <f>637</f>
        <v>637</v>
      </c>
      <c r="B639" s="6" t="s">
        <v>676</v>
      </c>
      <c r="C639" s="6" t="s">
        <v>9</v>
      </c>
      <c r="D639" s="6" t="s">
        <v>239</v>
      </c>
      <c r="E639" s="6" t="s">
        <v>17</v>
      </c>
      <c r="F639" s="6">
        <v>2</v>
      </c>
      <c r="G639" s="6">
        <v>1205</v>
      </c>
    </row>
    <row r="640" s="2" customFormat="true" ht="22.5" customHeight="true" spans="1:7">
      <c r="A640" s="6">
        <f>638</f>
        <v>638</v>
      </c>
      <c r="B640" s="6" t="s">
        <v>677</v>
      </c>
      <c r="C640" s="6" t="s">
        <v>9</v>
      </c>
      <c r="D640" s="6" t="s">
        <v>280</v>
      </c>
      <c r="E640" s="6" t="s">
        <v>17</v>
      </c>
      <c r="F640" s="6">
        <v>2</v>
      </c>
      <c r="G640" s="6">
        <v>1432</v>
      </c>
    </row>
    <row r="641" s="2" customFormat="true" ht="22.5" customHeight="true" spans="1:7">
      <c r="A641" s="6">
        <f>639</f>
        <v>639</v>
      </c>
      <c r="B641" s="6" t="s">
        <v>678</v>
      </c>
      <c r="C641" s="6" t="s">
        <v>9</v>
      </c>
      <c r="D641" s="6" t="s">
        <v>230</v>
      </c>
      <c r="E641" s="6" t="s">
        <v>17</v>
      </c>
      <c r="F641" s="6">
        <v>2</v>
      </c>
      <c r="G641" s="6">
        <v>1286</v>
      </c>
    </row>
    <row r="642" s="2" customFormat="true" ht="22.5" customHeight="true" spans="1:7">
      <c r="A642" s="6">
        <f>640</f>
        <v>640</v>
      </c>
      <c r="B642" s="6" t="s">
        <v>679</v>
      </c>
      <c r="C642" s="6" t="s">
        <v>9</v>
      </c>
      <c r="D642" s="6" t="s">
        <v>192</v>
      </c>
      <c r="E642" s="6" t="s">
        <v>11</v>
      </c>
      <c r="F642" s="6">
        <v>2</v>
      </c>
      <c r="G642" s="6">
        <v>1188</v>
      </c>
    </row>
    <row r="643" s="2" customFormat="true" ht="22.5" customHeight="true" spans="1:7">
      <c r="A643" s="6">
        <f>641</f>
        <v>641</v>
      </c>
      <c r="B643" s="6" t="s">
        <v>680</v>
      </c>
      <c r="C643" s="6" t="s">
        <v>9</v>
      </c>
      <c r="D643" s="6" t="s">
        <v>143</v>
      </c>
      <c r="E643" s="6" t="s">
        <v>17</v>
      </c>
      <c r="F643" s="6">
        <v>2</v>
      </c>
      <c r="G643" s="6">
        <v>1173</v>
      </c>
    </row>
    <row r="644" s="2" customFormat="true" ht="22.5" customHeight="true" spans="1:7">
      <c r="A644" s="6">
        <f>642</f>
        <v>642</v>
      </c>
      <c r="B644" s="6" t="s">
        <v>681</v>
      </c>
      <c r="C644" s="6" t="s">
        <v>9</v>
      </c>
      <c r="D644" s="6" t="s">
        <v>49</v>
      </c>
      <c r="E644" s="6" t="s">
        <v>11</v>
      </c>
      <c r="F644" s="6">
        <v>1</v>
      </c>
      <c r="G644" s="6">
        <v>711</v>
      </c>
    </row>
    <row r="645" s="2" customFormat="true" ht="22.5" customHeight="true" spans="1:7">
      <c r="A645" s="6">
        <f>643</f>
        <v>643</v>
      </c>
      <c r="B645" s="6" t="s">
        <v>682</v>
      </c>
      <c r="C645" s="6" t="s">
        <v>9</v>
      </c>
      <c r="D645" s="6" t="s">
        <v>136</v>
      </c>
      <c r="E645" s="6" t="s">
        <v>11</v>
      </c>
      <c r="F645" s="6">
        <v>2</v>
      </c>
      <c r="G645" s="6">
        <v>1132</v>
      </c>
    </row>
    <row r="646" s="2" customFormat="true" ht="22.5" customHeight="true" spans="1:7">
      <c r="A646" s="6">
        <f>644</f>
        <v>644</v>
      </c>
      <c r="B646" s="6" t="s">
        <v>683</v>
      </c>
      <c r="C646" s="6" t="s">
        <v>9</v>
      </c>
      <c r="D646" s="6" t="s">
        <v>49</v>
      </c>
      <c r="E646" s="6" t="s">
        <v>17</v>
      </c>
      <c r="F646" s="6">
        <v>1</v>
      </c>
      <c r="G646" s="6">
        <v>698</v>
      </c>
    </row>
    <row r="647" s="2" customFormat="true" ht="22.5" customHeight="true" spans="1:7">
      <c r="A647" s="6">
        <f>645</f>
        <v>645</v>
      </c>
      <c r="B647" s="6" t="s">
        <v>684</v>
      </c>
      <c r="C647" s="6" t="s">
        <v>9</v>
      </c>
      <c r="D647" s="6" t="s">
        <v>167</v>
      </c>
      <c r="E647" s="6" t="s">
        <v>17</v>
      </c>
      <c r="F647" s="6">
        <v>2</v>
      </c>
      <c r="G647" s="6">
        <v>1182</v>
      </c>
    </row>
    <row r="648" s="2" customFormat="true" ht="22.5" customHeight="true" spans="1:7">
      <c r="A648" s="6">
        <f>646</f>
        <v>646</v>
      </c>
      <c r="B648" s="6" t="s">
        <v>685</v>
      </c>
      <c r="C648" s="6" t="s">
        <v>9</v>
      </c>
      <c r="D648" s="6" t="s">
        <v>188</v>
      </c>
      <c r="E648" s="6" t="s">
        <v>17</v>
      </c>
      <c r="F648" s="6">
        <v>2</v>
      </c>
      <c r="G648" s="6">
        <v>1061</v>
      </c>
    </row>
    <row r="649" s="2" customFormat="true" ht="22.5" customHeight="true" spans="1:7">
      <c r="A649" s="6">
        <f>647</f>
        <v>647</v>
      </c>
      <c r="B649" s="6" t="s">
        <v>686</v>
      </c>
      <c r="C649" s="6" t="s">
        <v>9</v>
      </c>
      <c r="D649" s="6" t="s">
        <v>49</v>
      </c>
      <c r="E649" s="6" t="s">
        <v>17</v>
      </c>
      <c r="F649" s="6">
        <v>1</v>
      </c>
      <c r="G649" s="6">
        <v>649</v>
      </c>
    </row>
    <row r="650" s="2" customFormat="true" ht="22.5" customHeight="true" spans="1:7">
      <c r="A650" s="6">
        <f>648</f>
        <v>648</v>
      </c>
      <c r="B650" s="6" t="s">
        <v>687</v>
      </c>
      <c r="C650" s="6" t="s">
        <v>9</v>
      </c>
      <c r="D650" s="6" t="s">
        <v>222</v>
      </c>
      <c r="E650" s="6" t="s">
        <v>17</v>
      </c>
      <c r="F650" s="6">
        <v>2</v>
      </c>
      <c r="G650" s="6">
        <v>1111</v>
      </c>
    </row>
    <row r="651" s="2" customFormat="true" ht="22.5" customHeight="true" spans="1:7">
      <c r="A651" s="6">
        <f>649</f>
        <v>649</v>
      </c>
      <c r="B651" s="6" t="s">
        <v>688</v>
      </c>
      <c r="C651" s="6" t="s">
        <v>9</v>
      </c>
      <c r="D651" s="6" t="s">
        <v>230</v>
      </c>
      <c r="E651" s="6" t="s">
        <v>17</v>
      </c>
      <c r="F651" s="6">
        <v>1</v>
      </c>
      <c r="G651" s="6">
        <v>627</v>
      </c>
    </row>
    <row r="652" s="2" customFormat="true" ht="22.5" customHeight="true" spans="1:7">
      <c r="A652" s="6">
        <f>650</f>
        <v>650</v>
      </c>
      <c r="B652" s="6" t="s">
        <v>689</v>
      </c>
      <c r="C652" s="6" t="s">
        <v>15</v>
      </c>
      <c r="D652" s="6" t="s">
        <v>185</v>
      </c>
      <c r="E652" s="6" t="s">
        <v>17</v>
      </c>
      <c r="F652" s="6">
        <v>1</v>
      </c>
      <c r="G652" s="6">
        <v>603</v>
      </c>
    </row>
    <row r="653" s="2" customFormat="true" ht="22.5" customHeight="true" spans="1:7">
      <c r="A653" s="6">
        <f>651</f>
        <v>651</v>
      </c>
      <c r="B653" s="6" t="s">
        <v>690</v>
      </c>
      <c r="C653" s="6" t="s">
        <v>9</v>
      </c>
      <c r="D653" s="6" t="s">
        <v>131</v>
      </c>
      <c r="E653" s="6" t="s">
        <v>17</v>
      </c>
      <c r="F653" s="6">
        <v>1</v>
      </c>
      <c r="G653" s="6">
        <v>657</v>
      </c>
    </row>
    <row r="654" s="2" customFormat="true" ht="22.5" customHeight="true" spans="1:7">
      <c r="A654" s="6">
        <f>652</f>
        <v>652</v>
      </c>
      <c r="B654" s="6" t="s">
        <v>691</v>
      </c>
      <c r="C654" s="6" t="s">
        <v>9</v>
      </c>
      <c r="D654" s="6" t="s">
        <v>131</v>
      </c>
      <c r="E654" s="6" t="s">
        <v>17</v>
      </c>
      <c r="F654" s="6">
        <v>1</v>
      </c>
      <c r="G654" s="6">
        <v>644</v>
      </c>
    </row>
    <row r="655" s="2" customFormat="true" ht="22.5" customHeight="true" spans="1:7">
      <c r="A655" s="6">
        <f>653</f>
        <v>653</v>
      </c>
      <c r="B655" s="6" t="s">
        <v>692</v>
      </c>
      <c r="C655" s="6" t="s">
        <v>9</v>
      </c>
      <c r="D655" s="6" t="s">
        <v>138</v>
      </c>
      <c r="E655" s="6" t="s">
        <v>17</v>
      </c>
      <c r="F655" s="6">
        <v>1</v>
      </c>
      <c r="G655" s="6">
        <v>657</v>
      </c>
    </row>
    <row r="656" s="2" customFormat="true" ht="22.5" customHeight="true" spans="1:7">
      <c r="A656" s="6">
        <f>654</f>
        <v>654</v>
      </c>
      <c r="B656" s="6" t="s">
        <v>693</v>
      </c>
      <c r="C656" s="6" t="s">
        <v>9</v>
      </c>
      <c r="D656" s="6" t="s">
        <v>230</v>
      </c>
      <c r="E656" s="6" t="s">
        <v>17</v>
      </c>
      <c r="F656" s="6">
        <v>1</v>
      </c>
      <c r="G656" s="6">
        <v>627</v>
      </c>
    </row>
    <row r="657" s="2" customFormat="true" ht="22.5" customHeight="true" spans="1:7">
      <c r="A657" s="6">
        <f>655</f>
        <v>655</v>
      </c>
      <c r="B657" s="6" t="s">
        <v>694</v>
      </c>
      <c r="C657" s="6" t="s">
        <v>9</v>
      </c>
      <c r="D657" s="6" t="s">
        <v>13</v>
      </c>
      <c r="E657" s="6" t="s">
        <v>11</v>
      </c>
      <c r="F657" s="6">
        <v>2</v>
      </c>
      <c r="G657" s="6">
        <v>1176</v>
      </c>
    </row>
    <row r="658" s="2" customFormat="true" ht="22.5" customHeight="true" spans="1:7">
      <c r="A658" s="6">
        <f>656</f>
        <v>656</v>
      </c>
      <c r="B658" s="6" t="s">
        <v>695</v>
      </c>
      <c r="C658" s="6" t="s">
        <v>9</v>
      </c>
      <c r="D658" s="6" t="s">
        <v>143</v>
      </c>
      <c r="E658" s="6" t="s">
        <v>17</v>
      </c>
      <c r="F658" s="6">
        <v>1</v>
      </c>
      <c r="G658" s="6">
        <v>639</v>
      </c>
    </row>
    <row r="659" s="2" customFormat="true" ht="22.5" customHeight="true" spans="1:7">
      <c r="A659" s="6">
        <f>657</f>
        <v>657</v>
      </c>
      <c r="B659" s="6" t="s">
        <v>696</v>
      </c>
      <c r="C659" s="6" t="s">
        <v>15</v>
      </c>
      <c r="D659" s="6" t="s">
        <v>192</v>
      </c>
      <c r="E659" s="6" t="s">
        <v>11</v>
      </c>
      <c r="F659" s="6">
        <v>1</v>
      </c>
      <c r="G659" s="6">
        <v>640</v>
      </c>
    </row>
    <row r="660" s="2" customFormat="true" ht="22.5" customHeight="true" spans="1:7">
      <c r="A660" s="6">
        <f>658</f>
        <v>658</v>
      </c>
      <c r="B660" s="6" t="s">
        <v>697</v>
      </c>
      <c r="C660" s="6" t="s">
        <v>9</v>
      </c>
      <c r="D660" s="6" t="s">
        <v>129</v>
      </c>
      <c r="E660" s="6" t="s">
        <v>17</v>
      </c>
      <c r="F660" s="6">
        <v>2</v>
      </c>
      <c r="G660" s="6">
        <v>870</v>
      </c>
    </row>
    <row r="661" s="2" customFormat="true" ht="22.5" customHeight="true" spans="1:7">
      <c r="A661" s="6">
        <f>659</f>
        <v>659</v>
      </c>
      <c r="B661" s="6" t="s">
        <v>698</v>
      </c>
      <c r="C661" s="6" t="s">
        <v>9</v>
      </c>
      <c r="D661" s="6" t="s">
        <v>169</v>
      </c>
      <c r="E661" s="6" t="s">
        <v>17</v>
      </c>
      <c r="F661" s="6">
        <v>2</v>
      </c>
      <c r="G661" s="6">
        <v>972</v>
      </c>
    </row>
    <row r="662" s="2" customFormat="true" ht="22.5" customHeight="true" spans="1:7">
      <c r="A662" s="6">
        <f>660</f>
        <v>660</v>
      </c>
      <c r="B662" s="6" t="s">
        <v>699</v>
      </c>
      <c r="C662" s="6" t="s">
        <v>9</v>
      </c>
      <c r="D662" s="6" t="s">
        <v>209</v>
      </c>
      <c r="E662" s="6" t="s">
        <v>17</v>
      </c>
      <c r="F662" s="6">
        <v>1</v>
      </c>
      <c r="G662" s="6">
        <v>667</v>
      </c>
    </row>
    <row r="663" s="2" customFormat="true" ht="22.5" customHeight="true" spans="1:7">
      <c r="A663" s="6">
        <f>661</f>
        <v>661</v>
      </c>
      <c r="B663" s="6" t="s">
        <v>700</v>
      </c>
      <c r="C663" s="6" t="s">
        <v>9</v>
      </c>
      <c r="D663" s="6" t="s">
        <v>131</v>
      </c>
      <c r="E663" s="6" t="s">
        <v>17</v>
      </c>
      <c r="F663" s="6">
        <v>1</v>
      </c>
      <c r="G663" s="6">
        <v>729</v>
      </c>
    </row>
    <row r="664" s="2" customFormat="true" ht="22.5" customHeight="true" spans="1:7">
      <c r="A664" s="6">
        <f>662</f>
        <v>662</v>
      </c>
      <c r="B664" s="6" t="s">
        <v>701</v>
      </c>
      <c r="C664" s="6" t="s">
        <v>9</v>
      </c>
      <c r="D664" s="6" t="s">
        <v>188</v>
      </c>
      <c r="E664" s="6" t="s">
        <v>11</v>
      </c>
      <c r="F664" s="6">
        <v>2</v>
      </c>
      <c r="G664" s="6">
        <v>1104</v>
      </c>
    </row>
    <row r="665" s="2" customFormat="true" ht="22.5" customHeight="true" spans="1:7">
      <c r="A665" s="6">
        <f>663</f>
        <v>663</v>
      </c>
      <c r="B665" s="6" t="s">
        <v>702</v>
      </c>
      <c r="C665" s="6" t="s">
        <v>15</v>
      </c>
      <c r="D665" s="6" t="s">
        <v>222</v>
      </c>
      <c r="E665" s="6" t="s">
        <v>17</v>
      </c>
      <c r="F665" s="6">
        <v>1</v>
      </c>
      <c r="G665" s="6">
        <v>649</v>
      </c>
    </row>
    <row r="666" s="2" customFormat="true" ht="22.5" customHeight="true" spans="1:7">
      <c r="A666" s="6">
        <f>664</f>
        <v>664</v>
      </c>
      <c r="B666" s="6" t="s">
        <v>703</v>
      </c>
      <c r="C666" s="6" t="s">
        <v>9</v>
      </c>
      <c r="D666" s="6" t="s">
        <v>16</v>
      </c>
      <c r="E666" s="6" t="s">
        <v>17</v>
      </c>
      <c r="F666" s="6">
        <v>3</v>
      </c>
      <c r="G666" s="6">
        <v>1498</v>
      </c>
    </row>
    <row r="667" s="2" customFormat="true" ht="22.5" customHeight="true" spans="1:7">
      <c r="A667" s="6">
        <f>665</f>
        <v>665</v>
      </c>
      <c r="B667" s="6" t="s">
        <v>704</v>
      </c>
      <c r="C667" s="6" t="s">
        <v>9</v>
      </c>
      <c r="D667" s="6" t="s">
        <v>270</v>
      </c>
      <c r="E667" s="6" t="s">
        <v>17</v>
      </c>
      <c r="F667" s="6">
        <v>3</v>
      </c>
      <c r="G667" s="6">
        <v>1654</v>
      </c>
    </row>
    <row r="668" s="2" customFormat="true" ht="22.5" customHeight="true" spans="1:7">
      <c r="A668" s="6">
        <f>666</f>
        <v>666</v>
      </c>
      <c r="B668" s="6" t="s">
        <v>705</v>
      </c>
      <c r="C668" s="6" t="s">
        <v>9</v>
      </c>
      <c r="D668" s="6" t="s">
        <v>67</v>
      </c>
      <c r="E668" s="6" t="s">
        <v>17</v>
      </c>
      <c r="F668" s="6">
        <v>4</v>
      </c>
      <c r="G668" s="6">
        <v>2081</v>
      </c>
    </row>
    <row r="669" s="2" customFormat="true" ht="22.5" customHeight="true" spans="1:7">
      <c r="A669" s="6">
        <f>667</f>
        <v>667</v>
      </c>
      <c r="B669" s="6" t="s">
        <v>706</v>
      </c>
      <c r="C669" s="6" t="s">
        <v>9</v>
      </c>
      <c r="D669" s="6" t="s">
        <v>209</v>
      </c>
      <c r="E669" s="6" t="s">
        <v>79</v>
      </c>
      <c r="F669" s="6">
        <v>2</v>
      </c>
      <c r="G669" s="6">
        <v>922</v>
      </c>
    </row>
    <row r="670" s="2" customFormat="true" ht="22.5" customHeight="true" spans="1:7">
      <c r="A670" s="6">
        <f>668</f>
        <v>668</v>
      </c>
      <c r="B670" s="6" t="s">
        <v>707</v>
      </c>
      <c r="C670" s="6" t="s">
        <v>9</v>
      </c>
      <c r="D670" s="6" t="s">
        <v>416</v>
      </c>
      <c r="E670" s="6" t="s">
        <v>17</v>
      </c>
      <c r="F670" s="6">
        <v>1</v>
      </c>
      <c r="G670" s="6">
        <v>627</v>
      </c>
    </row>
    <row r="671" s="2" customFormat="true" ht="22.5" customHeight="true" spans="1:7">
      <c r="A671" s="6">
        <f>669</f>
        <v>669</v>
      </c>
      <c r="B671" s="6" t="s">
        <v>708</v>
      </c>
      <c r="C671" s="6" t="s">
        <v>15</v>
      </c>
      <c r="D671" s="6" t="s">
        <v>192</v>
      </c>
      <c r="E671" s="6" t="s">
        <v>17</v>
      </c>
      <c r="F671" s="6">
        <v>1</v>
      </c>
      <c r="G671" s="6">
        <v>690</v>
      </c>
    </row>
    <row r="672" s="2" customFormat="true" ht="22.5" customHeight="true" spans="1:7">
      <c r="A672" s="6">
        <f>670</f>
        <v>670</v>
      </c>
      <c r="B672" s="6" t="s">
        <v>709</v>
      </c>
      <c r="C672" s="6" t="s">
        <v>9</v>
      </c>
      <c r="D672" s="6" t="s">
        <v>117</v>
      </c>
      <c r="E672" s="6" t="s">
        <v>17</v>
      </c>
      <c r="F672" s="6">
        <v>4</v>
      </c>
      <c r="G672" s="6">
        <v>2420</v>
      </c>
    </row>
    <row r="673" s="2" customFormat="true" ht="22.5" customHeight="true" spans="1:7">
      <c r="A673" s="6">
        <f>671</f>
        <v>671</v>
      </c>
      <c r="B673" s="6" t="s">
        <v>710</v>
      </c>
      <c r="C673" s="6" t="s">
        <v>9</v>
      </c>
      <c r="D673" s="6" t="s">
        <v>131</v>
      </c>
      <c r="E673" s="6" t="s">
        <v>17</v>
      </c>
      <c r="F673" s="6">
        <v>2</v>
      </c>
      <c r="G673" s="6">
        <v>1177</v>
      </c>
    </row>
    <row r="674" s="2" customFormat="true" ht="22.5" customHeight="true" spans="1:7">
      <c r="A674" s="6">
        <f>672</f>
        <v>672</v>
      </c>
      <c r="B674" s="6" t="s">
        <v>711</v>
      </c>
      <c r="C674" s="6" t="s">
        <v>9</v>
      </c>
      <c r="D674" s="6" t="s">
        <v>129</v>
      </c>
      <c r="E674" s="6" t="s">
        <v>79</v>
      </c>
      <c r="F674" s="6">
        <v>1</v>
      </c>
      <c r="G674" s="6">
        <v>424</v>
      </c>
    </row>
    <row r="675" s="2" customFormat="true" ht="22.5" customHeight="true" spans="1:7">
      <c r="A675" s="6">
        <f>673</f>
        <v>673</v>
      </c>
      <c r="B675" s="6" t="s">
        <v>712</v>
      </c>
      <c r="C675" s="6" t="s">
        <v>9</v>
      </c>
      <c r="D675" s="6" t="s">
        <v>180</v>
      </c>
      <c r="E675" s="6" t="s">
        <v>17</v>
      </c>
      <c r="F675" s="6">
        <v>3</v>
      </c>
      <c r="G675" s="6">
        <v>1436</v>
      </c>
    </row>
    <row r="676" s="2" customFormat="true" ht="22.5" customHeight="true" spans="1:7">
      <c r="A676" s="6">
        <f>674</f>
        <v>674</v>
      </c>
      <c r="B676" s="6" t="s">
        <v>713</v>
      </c>
      <c r="C676" s="6" t="s">
        <v>9</v>
      </c>
      <c r="D676" s="6" t="s">
        <v>161</v>
      </c>
      <c r="E676" s="6" t="s">
        <v>17</v>
      </c>
      <c r="F676" s="6">
        <v>1</v>
      </c>
      <c r="G676" s="6">
        <v>664</v>
      </c>
    </row>
    <row r="677" s="2" customFormat="true" ht="22.5" customHeight="true" spans="1:7">
      <c r="A677" s="6">
        <f>675</f>
        <v>675</v>
      </c>
      <c r="B677" s="6" t="s">
        <v>714</v>
      </c>
      <c r="C677" s="6" t="s">
        <v>9</v>
      </c>
      <c r="D677" s="6" t="s">
        <v>185</v>
      </c>
      <c r="E677" s="6" t="s">
        <v>17</v>
      </c>
      <c r="F677" s="6">
        <v>3</v>
      </c>
      <c r="G677" s="6">
        <v>1697</v>
      </c>
    </row>
    <row r="678" s="2" customFormat="true" ht="22.5" customHeight="true" spans="1:7">
      <c r="A678" s="6">
        <f>676</f>
        <v>676</v>
      </c>
      <c r="B678" s="6" t="s">
        <v>715</v>
      </c>
      <c r="C678" s="6" t="s">
        <v>9</v>
      </c>
      <c r="D678" s="6" t="s">
        <v>143</v>
      </c>
      <c r="E678" s="6" t="s">
        <v>17</v>
      </c>
      <c r="F678" s="6">
        <v>1</v>
      </c>
      <c r="G678" s="6">
        <v>658</v>
      </c>
    </row>
    <row r="679" s="2" customFormat="true" ht="22.5" customHeight="true" spans="1:7">
      <c r="A679" s="6">
        <f>677</f>
        <v>677</v>
      </c>
      <c r="B679" s="6" t="s">
        <v>716</v>
      </c>
      <c r="C679" s="6" t="s">
        <v>9</v>
      </c>
      <c r="D679" s="6" t="s">
        <v>136</v>
      </c>
      <c r="E679" s="6" t="s">
        <v>79</v>
      </c>
      <c r="F679" s="6">
        <v>2</v>
      </c>
      <c r="G679" s="6">
        <v>959</v>
      </c>
    </row>
    <row r="680" s="2" customFormat="true" ht="22.5" customHeight="true" spans="1:7">
      <c r="A680" s="6">
        <f>678</f>
        <v>678</v>
      </c>
      <c r="B680" s="6" t="s">
        <v>717</v>
      </c>
      <c r="C680" s="6" t="s">
        <v>9</v>
      </c>
      <c r="D680" s="6" t="s">
        <v>202</v>
      </c>
      <c r="E680" s="6" t="s">
        <v>11</v>
      </c>
      <c r="F680" s="6">
        <v>1</v>
      </c>
      <c r="G680" s="6">
        <v>569</v>
      </c>
    </row>
    <row r="681" s="2" customFormat="true" ht="22.5" customHeight="true" spans="1:7">
      <c r="A681" s="6">
        <f>679</f>
        <v>679</v>
      </c>
      <c r="B681" s="6" t="s">
        <v>718</v>
      </c>
      <c r="C681" s="6" t="s">
        <v>9</v>
      </c>
      <c r="D681" s="6" t="s">
        <v>209</v>
      </c>
      <c r="E681" s="6" t="s">
        <v>79</v>
      </c>
      <c r="F681" s="6">
        <v>1</v>
      </c>
      <c r="G681" s="6">
        <v>441</v>
      </c>
    </row>
    <row r="682" s="2" customFormat="true" ht="22.5" customHeight="true" spans="1:7">
      <c r="A682" s="6">
        <f>680</f>
        <v>680</v>
      </c>
      <c r="B682" s="6" t="s">
        <v>719</v>
      </c>
      <c r="C682" s="6" t="s">
        <v>9</v>
      </c>
      <c r="D682" s="6" t="s">
        <v>182</v>
      </c>
      <c r="E682" s="6" t="s">
        <v>17</v>
      </c>
      <c r="F682" s="6">
        <v>1</v>
      </c>
      <c r="G682" s="6">
        <v>894</v>
      </c>
    </row>
    <row r="683" s="2" customFormat="true" ht="22.5" customHeight="true" spans="1:7">
      <c r="A683" s="6">
        <f>681</f>
        <v>681</v>
      </c>
      <c r="B683" s="6" t="s">
        <v>720</v>
      </c>
      <c r="C683" s="6" t="s">
        <v>15</v>
      </c>
      <c r="D683" s="6" t="s">
        <v>104</v>
      </c>
      <c r="E683" s="6" t="s">
        <v>17</v>
      </c>
      <c r="F683" s="6">
        <v>1</v>
      </c>
      <c r="G683" s="6">
        <v>680</v>
      </c>
    </row>
    <row r="684" s="2" customFormat="true" ht="22.5" customHeight="true" spans="1:7">
      <c r="A684" s="6">
        <f>682</f>
        <v>682</v>
      </c>
      <c r="B684" s="6" t="s">
        <v>721</v>
      </c>
      <c r="C684" s="6" t="s">
        <v>9</v>
      </c>
      <c r="D684" s="6" t="s">
        <v>169</v>
      </c>
      <c r="E684" s="6" t="s">
        <v>17</v>
      </c>
      <c r="F684" s="6">
        <v>2</v>
      </c>
      <c r="G684" s="6">
        <v>1440</v>
      </c>
    </row>
    <row r="685" s="2" customFormat="true" ht="22.5" customHeight="true" spans="1:7">
      <c r="A685" s="6">
        <f>683</f>
        <v>683</v>
      </c>
      <c r="B685" s="6" t="s">
        <v>722</v>
      </c>
      <c r="C685" s="6" t="s">
        <v>9</v>
      </c>
      <c r="D685" s="6" t="s">
        <v>270</v>
      </c>
      <c r="E685" s="6" t="s">
        <v>17</v>
      </c>
      <c r="F685" s="6">
        <v>2</v>
      </c>
      <c r="G685" s="6">
        <v>1091</v>
      </c>
    </row>
    <row r="686" s="2" customFormat="true" ht="22.5" customHeight="true" spans="1:7">
      <c r="A686" s="6">
        <f>684</f>
        <v>684</v>
      </c>
      <c r="B686" s="6" t="s">
        <v>723</v>
      </c>
      <c r="C686" s="6" t="s">
        <v>9</v>
      </c>
      <c r="D686" s="6" t="s">
        <v>180</v>
      </c>
      <c r="E686" s="6" t="s">
        <v>17</v>
      </c>
      <c r="F686" s="6">
        <v>3</v>
      </c>
      <c r="G686" s="6">
        <v>1535</v>
      </c>
    </row>
    <row r="687" s="2" customFormat="true" ht="22.5" customHeight="true" spans="1:7">
      <c r="A687" s="6">
        <f>685</f>
        <v>685</v>
      </c>
      <c r="B687" s="6" t="s">
        <v>724</v>
      </c>
      <c r="C687" s="6" t="s">
        <v>9</v>
      </c>
      <c r="D687" s="6" t="s">
        <v>129</v>
      </c>
      <c r="E687" s="6" t="s">
        <v>79</v>
      </c>
      <c r="F687" s="6">
        <v>1</v>
      </c>
      <c r="G687" s="6">
        <v>505</v>
      </c>
    </row>
    <row r="688" s="2" customFormat="true" ht="22.5" customHeight="true" spans="1:7">
      <c r="A688" s="6">
        <f>686</f>
        <v>686</v>
      </c>
      <c r="B688" s="6" t="s">
        <v>725</v>
      </c>
      <c r="C688" s="6" t="s">
        <v>9</v>
      </c>
      <c r="D688" s="6" t="s">
        <v>129</v>
      </c>
      <c r="E688" s="6" t="s">
        <v>17</v>
      </c>
      <c r="F688" s="6">
        <v>2</v>
      </c>
      <c r="G688" s="6">
        <v>1063</v>
      </c>
    </row>
    <row r="689" s="2" customFormat="true" ht="22.5" customHeight="true" spans="1:7">
      <c r="A689" s="6">
        <f>687</f>
        <v>687</v>
      </c>
      <c r="B689" s="6" t="s">
        <v>576</v>
      </c>
      <c r="C689" s="6" t="s">
        <v>9</v>
      </c>
      <c r="D689" s="6" t="s">
        <v>270</v>
      </c>
      <c r="E689" s="6" t="s">
        <v>17</v>
      </c>
      <c r="F689" s="6">
        <v>2</v>
      </c>
      <c r="G689" s="6">
        <v>1035</v>
      </c>
    </row>
    <row r="690" s="2" customFormat="true" ht="22.5" customHeight="true" spans="1:7">
      <c r="A690" s="6">
        <f>688</f>
        <v>688</v>
      </c>
      <c r="B690" s="6" t="s">
        <v>726</v>
      </c>
      <c r="C690" s="6" t="s">
        <v>9</v>
      </c>
      <c r="D690" s="6" t="s">
        <v>192</v>
      </c>
      <c r="E690" s="6" t="s">
        <v>11</v>
      </c>
      <c r="F690" s="6">
        <v>2</v>
      </c>
      <c r="G690" s="6">
        <v>1137</v>
      </c>
    </row>
    <row r="691" s="2" customFormat="true" ht="22.5" customHeight="true" spans="1:7">
      <c r="A691" s="6">
        <f>689</f>
        <v>689</v>
      </c>
      <c r="B691" s="6" t="s">
        <v>727</v>
      </c>
      <c r="C691" s="6" t="s">
        <v>9</v>
      </c>
      <c r="D691" s="6" t="s">
        <v>143</v>
      </c>
      <c r="E691" s="6" t="s">
        <v>11</v>
      </c>
      <c r="F691" s="6">
        <v>1</v>
      </c>
      <c r="G691" s="6">
        <v>629</v>
      </c>
    </row>
    <row r="692" s="2" customFormat="true" ht="22.5" customHeight="true" spans="1:7">
      <c r="A692" s="6">
        <f>690</f>
        <v>690</v>
      </c>
      <c r="B692" s="6" t="s">
        <v>728</v>
      </c>
      <c r="C692" s="6" t="s">
        <v>9</v>
      </c>
      <c r="D692" s="6" t="s">
        <v>16</v>
      </c>
      <c r="E692" s="6" t="s">
        <v>17</v>
      </c>
      <c r="F692" s="6">
        <v>1</v>
      </c>
      <c r="G692" s="6">
        <v>729</v>
      </c>
    </row>
    <row r="693" s="2" customFormat="true" ht="22.5" customHeight="true" spans="1:7">
      <c r="A693" s="6">
        <f>691</f>
        <v>691</v>
      </c>
      <c r="B693" s="6" t="s">
        <v>729</v>
      </c>
      <c r="C693" s="6" t="s">
        <v>15</v>
      </c>
      <c r="D693" s="6" t="s">
        <v>159</v>
      </c>
      <c r="E693" s="6" t="s">
        <v>79</v>
      </c>
      <c r="F693" s="6">
        <v>1</v>
      </c>
      <c r="G693" s="6">
        <v>401</v>
      </c>
    </row>
    <row r="694" s="2" customFormat="true" ht="22.5" customHeight="true" spans="1:7">
      <c r="A694" s="6">
        <f>692</f>
        <v>692</v>
      </c>
      <c r="B694" s="6" t="s">
        <v>730</v>
      </c>
      <c r="C694" s="6" t="s">
        <v>9</v>
      </c>
      <c r="D694" s="6" t="s">
        <v>182</v>
      </c>
      <c r="E694" s="6" t="s">
        <v>17</v>
      </c>
      <c r="F694" s="6">
        <v>1</v>
      </c>
      <c r="G694" s="6">
        <v>657</v>
      </c>
    </row>
    <row r="695" s="2" customFormat="true" ht="22.5" customHeight="true" spans="1:7">
      <c r="A695" s="6">
        <f>693</f>
        <v>693</v>
      </c>
      <c r="B695" s="6" t="s">
        <v>731</v>
      </c>
      <c r="C695" s="6" t="s">
        <v>9</v>
      </c>
      <c r="D695" s="6" t="s">
        <v>185</v>
      </c>
      <c r="E695" s="6" t="s">
        <v>17</v>
      </c>
      <c r="F695" s="6">
        <v>1</v>
      </c>
      <c r="G695" s="6">
        <v>594</v>
      </c>
    </row>
    <row r="696" s="2" customFormat="true" ht="22.5" customHeight="true" spans="1:7">
      <c r="A696" s="6">
        <f>694</f>
        <v>694</v>
      </c>
      <c r="B696" s="6" t="s">
        <v>732</v>
      </c>
      <c r="C696" s="6" t="s">
        <v>9</v>
      </c>
      <c r="D696" s="6" t="s">
        <v>209</v>
      </c>
      <c r="E696" s="6" t="s">
        <v>17</v>
      </c>
      <c r="F696" s="6">
        <v>2</v>
      </c>
      <c r="G696" s="6">
        <v>1150</v>
      </c>
    </row>
    <row r="697" s="2" customFormat="true" ht="22.5" customHeight="true" spans="1:7">
      <c r="A697" s="6">
        <f>695</f>
        <v>695</v>
      </c>
      <c r="B697" s="6" t="s">
        <v>733</v>
      </c>
      <c r="C697" s="6" t="s">
        <v>9</v>
      </c>
      <c r="D697" s="6" t="s">
        <v>131</v>
      </c>
      <c r="E697" s="6" t="s">
        <v>17</v>
      </c>
      <c r="F697" s="6">
        <v>1</v>
      </c>
      <c r="G697" s="6">
        <v>740</v>
      </c>
    </row>
    <row r="698" s="2" customFormat="true" ht="22.5" customHeight="true" spans="1:7">
      <c r="A698" s="6">
        <f>696</f>
        <v>696</v>
      </c>
      <c r="B698" s="6" t="s">
        <v>734</v>
      </c>
      <c r="C698" s="6" t="s">
        <v>9</v>
      </c>
      <c r="D698" s="6" t="s">
        <v>164</v>
      </c>
      <c r="E698" s="6" t="s">
        <v>17</v>
      </c>
      <c r="F698" s="6">
        <v>2</v>
      </c>
      <c r="G698" s="6">
        <v>1193</v>
      </c>
    </row>
    <row r="699" s="2" customFormat="true" ht="22.5" customHeight="true" spans="1:7">
      <c r="A699" s="6">
        <f>697</f>
        <v>697</v>
      </c>
      <c r="B699" s="6" t="s">
        <v>735</v>
      </c>
      <c r="C699" s="6" t="s">
        <v>15</v>
      </c>
      <c r="D699" s="6" t="s">
        <v>169</v>
      </c>
      <c r="E699" s="6" t="s">
        <v>79</v>
      </c>
      <c r="F699" s="6">
        <v>1</v>
      </c>
      <c r="G699" s="6">
        <v>495</v>
      </c>
    </row>
    <row r="700" s="2" customFormat="true" ht="22.5" customHeight="true" spans="1:7">
      <c r="A700" s="6">
        <f>698</f>
        <v>698</v>
      </c>
      <c r="B700" s="6" t="s">
        <v>736</v>
      </c>
      <c r="C700" s="6" t="s">
        <v>9</v>
      </c>
      <c r="D700" s="6" t="s">
        <v>270</v>
      </c>
      <c r="E700" s="6" t="s">
        <v>17</v>
      </c>
      <c r="F700" s="6">
        <v>4</v>
      </c>
      <c r="G700" s="6">
        <v>2255</v>
      </c>
    </row>
    <row r="701" s="2" customFormat="true" ht="22.5" customHeight="true" spans="1:7">
      <c r="A701" s="6">
        <f>699</f>
        <v>699</v>
      </c>
      <c r="B701" s="6" t="s">
        <v>737</v>
      </c>
      <c r="C701" s="6" t="s">
        <v>9</v>
      </c>
      <c r="D701" s="6" t="s">
        <v>222</v>
      </c>
      <c r="E701" s="6" t="s">
        <v>11</v>
      </c>
      <c r="F701" s="6">
        <v>2</v>
      </c>
      <c r="G701" s="6">
        <v>936</v>
      </c>
    </row>
    <row r="702" s="2" customFormat="true" ht="22.5" customHeight="true" spans="1:7">
      <c r="A702" s="6">
        <f>700</f>
        <v>700</v>
      </c>
      <c r="B702" s="6" t="s">
        <v>738</v>
      </c>
      <c r="C702" s="6" t="s">
        <v>9</v>
      </c>
      <c r="D702" s="6" t="s">
        <v>138</v>
      </c>
      <c r="E702" s="6" t="s">
        <v>17</v>
      </c>
      <c r="F702" s="6">
        <v>1</v>
      </c>
      <c r="G702" s="6">
        <v>642</v>
      </c>
    </row>
    <row r="703" s="2" customFormat="true" ht="22.5" customHeight="true" spans="1:7">
      <c r="A703" s="6">
        <f>701</f>
        <v>701</v>
      </c>
      <c r="B703" s="6" t="s">
        <v>739</v>
      </c>
      <c r="C703" s="6" t="s">
        <v>9</v>
      </c>
      <c r="D703" s="6" t="s">
        <v>149</v>
      </c>
      <c r="E703" s="6" t="s">
        <v>17</v>
      </c>
      <c r="F703" s="6">
        <v>3</v>
      </c>
      <c r="G703" s="6">
        <v>1629</v>
      </c>
    </row>
    <row r="704" s="2" customFormat="true" ht="22.5" customHeight="true" spans="1:7">
      <c r="A704" s="6">
        <f>702</f>
        <v>702</v>
      </c>
      <c r="B704" s="6" t="s">
        <v>740</v>
      </c>
      <c r="C704" s="6" t="s">
        <v>9</v>
      </c>
      <c r="D704" s="6" t="s">
        <v>131</v>
      </c>
      <c r="E704" s="6" t="s">
        <v>79</v>
      </c>
      <c r="F704" s="6">
        <v>1</v>
      </c>
      <c r="G704" s="6">
        <v>414</v>
      </c>
    </row>
    <row r="705" s="2" customFormat="true" ht="22.5" customHeight="true" spans="1:7">
      <c r="A705" s="6">
        <f>703</f>
        <v>703</v>
      </c>
      <c r="B705" s="6" t="s">
        <v>741</v>
      </c>
      <c r="C705" s="6" t="s">
        <v>9</v>
      </c>
      <c r="D705" s="6" t="s">
        <v>185</v>
      </c>
      <c r="E705" s="6" t="s">
        <v>79</v>
      </c>
      <c r="F705" s="6">
        <v>2</v>
      </c>
      <c r="G705" s="6">
        <v>846</v>
      </c>
    </row>
    <row r="706" s="2" customFormat="true" ht="22.5" customHeight="true" spans="1:7">
      <c r="A706" s="6">
        <f>704</f>
        <v>704</v>
      </c>
      <c r="B706" s="6" t="s">
        <v>742</v>
      </c>
      <c r="C706" s="6" t="s">
        <v>9</v>
      </c>
      <c r="D706" s="6" t="s">
        <v>202</v>
      </c>
      <c r="E706" s="6" t="s">
        <v>17</v>
      </c>
      <c r="F706" s="6">
        <v>1</v>
      </c>
      <c r="G706" s="6">
        <v>706</v>
      </c>
    </row>
    <row r="707" s="2" customFormat="true" ht="22.5" customHeight="true" spans="1:7">
      <c r="A707" s="6">
        <f>705</f>
        <v>705</v>
      </c>
      <c r="B707" s="6" t="s">
        <v>743</v>
      </c>
      <c r="C707" s="6" t="s">
        <v>15</v>
      </c>
      <c r="D707" s="6" t="s">
        <v>222</v>
      </c>
      <c r="E707" s="6" t="s">
        <v>17</v>
      </c>
      <c r="F707" s="6">
        <v>1</v>
      </c>
      <c r="G707" s="6">
        <v>627</v>
      </c>
    </row>
    <row r="708" s="2" customFormat="true" ht="22.5" customHeight="true" spans="1:7">
      <c r="A708" s="6">
        <f>706</f>
        <v>706</v>
      </c>
      <c r="B708" s="6" t="s">
        <v>207</v>
      </c>
      <c r="C708" s="6" t="s">
        <v>15</v>
      </c>
      <c r="D708" s="6" t="s">
        <v>209</v>
      </c>
      <c r="E708" s="6" t="s">
        <v>17</v>
      </c>
      <c r="F708" s="6">
        <v>1</v>
      </c>
      <c r="G708" s="6">
        <v>668</v>
      </c>
    </row>
    <row r="709" s="2" customFormat="true" ht="22.5" customHeight="true" spans="1:7">
      <c r="A709" s="6">
        <f>707</f>
        <v>707</v>
      </c>
      <c r="B709" s="6" t="s">
        <v>744</v>
      </c>
      <c r="C709" s="6" t="s">
        <v>15</v>
      </c>
      <c r="D709" s="6" t="s">
        <v>143</v>
      </c>
      <c r="E709" s="6" t="s">
        <v>17</v>
      </c>
      <c r="F709" s="6">
        <v>3</v>
      </c>
      <c r="G709" s="6">
        <v>1729</v>
      </c>
    </row>
    <row r="710" s="2" customFormat="true" ht="22.5" customHeight="true" spans="1:7">
      <c r="A710" s="6">
        <f>708</f>
        <v>708</v>
      </c>
      <c r="B710" s="6" t="s">
        <v>745</v>
      </c>
      <c r="C710" s="6" t="s">
        <v>9</v>
      </c>
      <c r="D710" s="6" t="s">
        <v>416</v>
      </c>
      <c r="E710" s="6" t="s">
        <v>17</v>
      </c>
      <c r="F710" s="6">
        <v>3</v>
      </c>
      <c r="G710" s="6">
        <v>1641</v>
      </c>
    </row>
    <row r="711" s="2" customFormat="true" ht="22.5" customHeight="true" spans="1:7">
      <c r="A711" s="6">
        <f>709</f>
        <v>709</v>
      </c>
      <c r="B711" s="6" t="s">
        <v>746</v>
      </c>
      <c r="C711" s="6" t="s">
        <v>9</v>
      </c>
      <c r="D711" s="6" t="s">
        <v>185</v>
      </c>
      <c r="E711" s="6" t="s">
        <v>17</v>
      </c>
      <c r="F711" s="6">
        <v>1</v>
      </c>
      <c r="G711" s="6">
        <v>642</v>
      </c>
    </row>
    <row r="712" s="2" customFormat="true" ht="22.5" customHeight="true" spans="1:7">
      <c r="A712" s="6">
        <f>710</f>
        <v>710</v>
      </c>
      <c r="B712" s="6" t="s">
        <v>747</v>
      </c>
      <c r="C712" s="6" t="s">
        <v>9</v>
      </c>
      <c r="D712" s="6" t="s">
        <v>159</v>
      </c>
      <c r="E712" s="6" t="s">
        <v>17</v>
      </c>
      <c r="F712" s="6">
        <v>2</v>
      </c>
      <c r="G712" s="6">
        <v>1232</v>
      </c>
    </row>
    <row r="713" s="2" customFormat="true" ht="22.5" customHeight="true" spans="1:7">
      <c r="A713" s="6">
        <f>711</f>
        <v>711</v>
      </c>
      <c r="B713" s="6" t="s">
        <v>748</v>
      </c>
      <c r="C713" s="6" t="s">
        <v>9</v>
      </c>
      <c r="D713" s="6" t="s">
        <v>16</v>
      </c>
      <c r="E713" s="6" t="s">
        <v>17</v>
      </c>
      <c r="F713" s="6">
        <v>1</v>
      </c>
      <c r="G713" s="6">
        <v>614</v>
      </c>
    </row>
    <row r="714" s="2" customFormat="true" ht="22.5" customHeight="true" spans="1:7">
      <c r="A714" s="6">
        <f>712</f>
        <v>712</v>
      </c>
      <c r="B714" s="6" t="s">
        <v>749</v>
      </c>
      <c r="C714" s="6" t="s">
        <v>9</v>
      </c>
      <c r="D714" s="6" t="s">
        <v>260</v>
      </c>
      <c r="E714" s="6" t="s">
        <v>17</v>
      </c>
      <c r="F714" s="6">
        <v>2</v>
      </c>
      <c r="G714" s="6">
        <v>1312</v>
      </c>
    </row>
    <row r="715" s="2" customFormat="true" ht="22.5" customHeight="true" spans="1:7">
      <c r="A715" s="6">
        <f>713</f>
        <v>713</v>
      </c>
      <c r="B715" s="6" t="s">
        <v>750</v>
      </c>
      <c r="C715" s="6" t="s">
        <v>15</v>
      </c>
      <c r="D715" s="6" t="s">
        <v>222</v>
      </c>
      <c r="E715" s="6" t="s">
        <v>11</v>
      </c>
      <c r="F715" s="6">
        <v>1</v>
      </c>
      <c r="G715" s="6">
        <v>451</v>
      </c>
    </row>
    <row r="716" s="2" customFormat="true" ht="22.5" customHeight="true" spans="1:7">
      <c r="A716" s="6">
        <f>714</f>
        <v>714</v>
      </c>
      <c r="B716" s="6" t="s">
        <v>751</v>
      </c>
      <c r="C716" s="6" t="s">
        <v>9</v>
      </c>
      <c r="D716" s="6" t="s">
        <v>129</v>
      </c>
      <c r="E716" s="6" t="s">
        <v>79</v>
      </c>
      <c r="F716" s="6">
        <v>1</v>
      </c>
      <c r="G716" s="6">
        <v>506</v>
      </c>
    </row>
    <row r="717" s="2" customFormat="true" ht="22.5" customHeight="true" spans="1:7">
      <c r="A717" s="6">
        <f>715</f>
        <v>715</v>
      </c>
      <c r="B717" s="6" t="s">
        <v>752</v>
      </c>
      <c r="C717" s="6" t="s">
        <v>9</v>
      </c>
      <c r="D717" s="6" t="s">
        <v>260</v>
      </c>
      <c r="E717" s="6" t="s">
        <v>17</v>
      </c>
      <c r="F717" s="6">
        <v>2</v>
      </c>
      <c r="G717" s="6">
        <v>1304</v>
      </c>
    </row>
    <row r="718" s="2" customFormat="true" ht="22.5" customHeight="true" spans="1:7">
      <c r="A718" s="6">
        <f>716</f>
        <v>716</v>
      </c>
      <c r="B718" s="6" t="s">
        <v>753</v>
      </c>
      <c r="C718" s="6" t="s">
        <v>9</v>
      </c>
      <c r="D718" s="6" t="s">
        <v>270</v>
      </c>
      <c r="E718" s="6" t="s">
        <v>17</v>
      </c>
      <c r="F718" s="6">
        <v>2</v>
      </c>
      <c r="G718" s="6">
        <v>1314</v>
      </c>
    </row>
    <row r="719" s="2" customFormat="true" ht="22.5" customHeight="true" spans="1:7">
      <c r="A719" s="6">
        <f>717</f>
        <v>717</v>
      </c>
      <c r="B719" s="6" t="s">
        <v>754</v>
      </c>
      <c r="C719" s="6" t="s">
        <v>9</v>
      </c>
      <c r="D719" s="6" t="s">
        <v>185</v>
      </c>
      <c r="E719" s="6" t="s">
        <v>17</v>
      </c>
      <c r="F719" s="6">
        <v>2</v>
      </c>
      <c r="G719" s="6">
        <v>1188</v>
      </c>
    </row>
    <row r="720" s="2" customFormat="true" ht="22.5" customHeight="true" spans="1:7">
      <c r="A720" s="6">
        <f>718</f>
        <v>718</v>
      </c>
      <c r="B720" s="6" t="s">
        <v>755</v>
      </c>
      <c r="C720" s="6" t="s">
        <v>9</v>
      </c>
      <c r="D720" s="6" t="s">
        <v>260</v>
      </c>
      <c r="E720" s="6" t="s">
        <v>17</v>
      </c>
      <c r="F720" s="6">
        <v>1</v>
      </c>
      <c r="G720" s="6">
        <v>656</v>
      </c>
    </row>
    <row r="721" s="2" customFormat="true" ht="22.5" customHeight="true" spans="1:7">
      <c r="A721" s="6">
        <f>719</f>
        <v>719</v>
      </c>
      <c r="B721" s="6" t="s">
        <v>756</v>
      </c>
      <c r="C721" s="6" t="s">
        <v>15</v>
      </c>
      <c r="D721" s="6" t="s">
        <v>19</v>
      </c>
      <c r="E721" s="6" t="s">
        <v>79</v>
      </c>
      <c r="F721" s="6">
        <v>2</v>
      </c>
      <c r="G721" s="6">
        <v>970</v>
      </c>
    </row>
    <row r="722" s="2" customFormat="true" ht="22.5" customHeight="true" spans="1:7">
      <c r="A722" s="6">
        <f>720</f>
        <v>720</v>
      </c>
      <c r="B722" s="6" t="s">
        <v>757</v>
      </c>
      <c r="C722" s="6" t="s">
        <v>9</v>
      </c>
      <c r="D722" s="6" t="s">
        <v>182</v>
      </c>
      <c r="E722" s="6" t="s">
        <v>17</v>
      </c>
      <c r="F722" s="6">
        <v>1</v>
      </c>
      <c r="G722" s="6">
        <v>665</v>
      </c>
    </row>
    <row r="723" s="2" customFormat="true" ht="22.5" customHeight="true" spans="1:7">
      <c r="A723" s="6">
        <f>721</f>
        <v>721</v>
      </c>
      <c r="B723" s="6" t="s">
        <v>758</v>
      </c>
      <c r="C723" s="6" t="s">
        <v>9</v>
      </c>
      <c r="D723" s="6" t="s">
        <v>209</v>
      </c>
      <c r="E723" s="6" t="s">
        <v>11</v>
      </c>
      <c r="F723" s="6">
        <v>1</v>
      </c>
      <c r="G723" s="6">
        <v>582</v>
      </c>
    </row>
    <row r="724" s="2" customFormat="true" ht="22.5" customHeight="true" spans="1:7">
      <c r="A724" s="6">
        <f>722</f>
        <v>722</v>
      </c>
      <c r="B724" s="6" t="s">
        <v>759</v>
      </c>
      <c r="C724" s="6" t="s">
        <v>9</v>
      </c>
      <c r="D724" s="6" t="s">
        <v>185</v>
      </c>
      <c r="E724" s="6" t="s">
        <v>17</v>
      </c>
      <c r="F724" s="6">
        <v>3</v>
      </c>
      <c r="G724" s="6">
        <v>1835</v>
      </c>
    </row>
    <row r="725" s="2" customFormat="true" ht="22.5" customHeight="true" spans="1:7">
      <c r="A725" s="6">
        <f>723</f>
        <v>723</v>
      </c>
      <c r="B725" s="6" t="s">
        <v>760</v>
      </c>
      <c r="C725" s="6" t="s">
        <v>9</v>
      </c>
      <c r="D725" s="6" t="s">
        <v>13</v>
      </c>
      <c r="E725" s="6" t="s">
        <v>11</v>
      </c>
      <c r="F725" s="6">
        <v>1</v>
      </c>
      <c r="G725" s="6">
        <v>564</v>
      </c>
    </row>
    <row r="726" s="2" customFormat="true" ht="22.5" customHeight="true" spans="1:7">
      <c r="A726" s="6">
        <f>724</f>
        <v>724</v>
      </c>
      <c r="B726" s="6" t="s">
        <v>761</v>
      </c>
      <c r="C726" s="6" t="s">
        <v>9</v>
      </c>
      <c r="D726" s="6" t="s">
        <v>185</v>
      </c>
      <c r="E726" s="6" t="s">
        <v>17</v>
      </c>
      <c r="F726" s="6">
        <v>1</v>
      </c>
      <c r="G726" s="6">
        <v>624</v>
      </c>
    </row>
    <row r="727" s="2" customFormat="true" ht="22.5" customHeight="true" spans="1:7">
      <c r="A727" s="6">
        <f>725</f>
        <v>725</v>
      </c>
      <c r="B727" s="6" t="s">
        <v>762</v>
      </c>
      <c r="C727" s="6" t="s">
        <v>15</v>
      </c>
      <c r="D727" s="6" t="s">
        <v>129</v>
      </c>
      <c r="E727" s="6" t="s">
        <v>17</v>
      </c>
      <c r="F727" s="6">
        <v>3</v>
      </c>
      <c r="G727" s="6">
        <v>1556</v>
      </c>
    </row>
    <row r="728" s="2" customFormat="true" ht="22.5" customHeight="true" spans="1:7">
      <c r="A728" s="6">
        <f>726</f>
        <v>726</v>
      </c>
      <c r="B728" s="6" t="s">
        <v>763</v>
      </c>
      <c r="C728" s="6" t="s">
        <v>9</v>
      </c>
      <c r="D728" s="6" t="s">
        <v>185</v>
      </c>
      <c r="E728" s="6" t="s">
        <v>17</v>
      </c>
      <c r="F728" s="6">
        <v>2</v>
      </c>
      <c r="G728" s="6">
        <v>1380</v>
      </c>
    </row>
    <row r="729" s="2" customFormat="true" ht="22.5" customHeight="true" spans="1:7">
      <c r="A729" s="6">
        <f>727</f>
        <v>727</v>
      </c>
      <c r="B729" s="6" t="s">
        <v>764</v>
      </c>
      <c r="C729" s="6" t="s">
        <v>9</v>
      </c>
      <c r="D729" s="6" t="s">
        <v>185</v>
      </c>
      <c r="E729" s="6" t="s">
        <v>17</v>
      </c>
      <c r="F729" s="6">
        <v>1</v>
      </c>
      <c r="G729" s="6">
        <v>690</v>
      </c>
    </row>
    <row r="730" s="2" customFormat="true" ht="22.5" customHeight="true" spans="1:7">
      <c r="A730" s="6">
        <f>728</f>
        <v>728</v>
      </c>
      <c r="B730" s="6" t="s">
        <v>765</v>
      </c>
      <c r="C730" s="6" t="s">
        <v>9</v>
      </c>
      <c r="D730" s="6" t="s">
        <v>164</v>
      </c>
      <c r="E730" s="6" t="s">
        <v>11</v>
      </c>
      <c r="F730" s="6">
        <v>1</v>
      </c>
      <c r="G730" s="6">
        <v>600</v>
      </c>
    </row>
    <row r="731" s="2" customFormat="true" ht="22.5" customHeight="true" spans="1:7">
      <c r="A731" s="6">
        <f>729</f>
        <v>729</v>
      </c>
      <c r="B731" s="6" t="s">
        <v>766</v>
      </c>
      <c r="C731" s="6" t="s">
        <v>9</v>
      </c>
      <c r="D731" s="6" t="s">
        <v>136</v>
      </c>
      <c r="E731" s="6" t="s">
        <v>17</v>
      </c>
      <c r="F731" s="6">
        <v>2</v>
      </c>
      <c r="G731" s="6">
        <v>1190</v>
      </c>
    </row>
    <row r="732" s="2" customFormat="true" ht="22.5" customHeight="true" spans="1:7">
      <c r="A732" s="6">
        <f>730</f>
        <v>730</v>
      </c>
      <c r="B732" s="6" t="s">
        <v>193</v>
      </c>
      <c r="C732" s="6" t="s">
        <v>9</v>
      </c>
      <c r="D732" s="6" t="s">
        <v>146</v>
      </c>
      <c r="E732" s="6" t="s">
        <v>17</v>
      </c>
      <c r="F732" s="6">
        <v>1</v>
      </c>
      <c r="G732" s="6">
        <v>649</v>
      </c>
    </row>
    <row r="733" s="2" customFormat="true" ht="22.5" customHeight="true" spans="1:7">
      <c r="A733" s="6">
        <f>731</f>
        <v>731</v>
      </c>
      <c r="B733" s="6" t="s">
        <v>767</v>
      </c>
      <c r="C733" s="6" t="s">
        <v>9</v>
      </c>
      <c r="D733" s="6" t="s">
        <v>169</v>
      </c>
      <c r="E733" s="6" t="s">
        <v>79</v>
      </c>
      <c r="F733" s="6">
        <v>2</v>
      </c>
      <c r="G733" s="6">
        <v>1126</v>
      </c>
    </row>
    <row r="734" s="2" customFormat="true" ht="22.5" customHeight="true" spans="1:7">
      <c r="A734" s="6">
        <f>732</f>
        <v>732</v>
      </c>
      <c r="B734" s="6" t="s">
        <v>768</v>
      </c>
      <c r="C734" s="6" t="s">
        <v>9</v>
      </c>
      <c r="D734" s="6" t="s">
        <v>131</v>
      </c>
      <c r="E734" s="6" t="s">
        <v>17</v>
      </c>
      <c r="F734" s="6">
        <v>1</v>
      </c>
      <c r="G734" s="6">
        <v>729</v>
      </c>
    </row>
    <row r="735" s="2" customFormat="true" ht="22.5" customHeight="true" spans="1:7">
      <c r="A735" s="6">
        <f>733</f>
        <v>733</v>
      </c>
      <c r="B735" s="6" t="s">
        <v>769</v>
      </c>
      <c r="C735" s="6" t="s">
        <v>9</v>
      </c>
      <c r="D735" s="6" t="s">
        <v>202</v>
      </c>
      <c r="E735" s="6" t="s">
        <v>17</v>
      </c>
      <c r="F735" s="6">
        <v>4</v>
      </c>
      <c r="G735" s="6">
        <v>2062</v>
      </c>
    </row>
    <row r="736" s="2" customFormat="true" ht="22.5" customHeight="true" spans="1:7">
      <c r="A736" s="6">
        <f>734</f>
        <v>734</v>
      </c>
      <c r="B736" s="6" t="s">
        <v>770</v>
      </c>
      <c r="C736" s="6" t="s">
        <v>9</v>
      </c>
      <c r="D736" s="6" t="s">
        <v>16</v>
      </c>
      <c r="E736" s="6" t="s">
        <v>17</v>
      </c>
      <c r="F736" s="6">
        <v>2</v>
      </c>
      <c r="G736" s="6">
        <v>1284</v>
      </c>
    </row>
    <row r="737" s="2" customFormat="true" ht="22.5" customHeight="true" spans="1:7">
      <c r="A737" s="6">
        <f>735</f>
        <v>735</v>
      </c>
      <c r="B737" s="6" t="s">
        <v>771</v>
      </c>
      <c r="C737" s="6" t="s">
        <v>15</v>
      </c>
      <c r="D737" s="6" t="s">
        <v>167</v>
      </c>
      <c r="E737" s="6" t="s">
        <v>17</v>
      </c>
      <c r="F737" s="6">
        <v>1</v>
      </c>
      <c r="G737" s="6">
        <v>664</v>
      </c>
    </row>
    <row r="738" s="2" customFormat="true" ht="22.5" customHeight="true" spans="1:7">
      <c r="A738" s="6">
        <f>736</f>
        <v>736</v>
      </c>
      <c r="B738" s="6" t="s">
        <v>772</v>
      </c>
      <c r="C738" s="6" t="s">
        <v>9</v>
      </c>
      <c r="D738" s="6" t="s">
        <v>169</v>
      </c>
      <c r="E738" s="6" t="s">
        <v>79</v>
      </c>
      <c r="F738" s="6">
        <v>2</v>
      </c>
      <c r="G738" s="6">
        <v>838</v>
      </c>
    </row>
    <row r="739" s="2" customFormat="true" ht="22.5" customHeight="true" spans="1:7">
      <c r="A739" s="6">
        <f>737</f>
        <v>737</v>
      </c>
      <c r="B739" s="6" t="s">
        <v>773</v>
      </c>
      <c r="C739" s="6" t="s">
        <v>9</v>
      </c>
      <c r="D739" s="6" t="s">
        <v>138</v>
      </c>
      <c r="E739" s="6" t="s">
        <v>17</v>
      </c>
      <c r="F739" s="6">
        <v>1</v>
      </c>
      <c r="G739" s="6">
        <v>706</v>
      </c>
    </row>
    <row r="740" s="2" customFormat="true" ht="22.5" customHeight="true" spans="1:7">
      <c r="A740" s="6">
        <f>738</f>
        <v>738</v>
      </c>
      <c r="B740" s="6" t="s">
        <v>774</v>
      </c>
      <c r="C740" s="6" t="s">
        <v>9</v>
      </c>
      <c r="D740" s="6" t="s">
        <v>136</v>
      </c>
      <c r="E740" s="6" t="s">
        <v>17</v>
      </c>
      <c r="F740" s="6">
        <v>1</v>
      </c>
      <c r="G740" s="6">
        <v>758</v>
      </c>
    </row>
    <row r="741" s="2" customFormat="true" ht="22.5" customHeight="true" spans="1:7">
      <c r="A741" s="6">
        <f>739</f>
        <v>739</v>
      </c>
      <c r="B741" s="6" t="s">
        <v>775</v>
      </c>
      <c r="C741" s="6" t="s">
        <v>9</v>
      </c>
      <c r="D741" s="6" t="s">
        <v>230</v>
      </c>
      <c r="E741" s="6" t="s">
        <v>17</v>
      </c>
      <c r="F741" s="6">
        <v>1</v>
      </c>
      <c r="G741" s="6">
        <v>647</v>
      </c>
    </row>
    <row r="742" s="2" customFormat="true" ht="22.5" customHeight="true" spans="1:7">
      <c r="A742" s="6">
        <f>740</f>
        <v>740</v>
      </c>
      <c r="B742" s="6" t="s">
        <v>776</v>
      </c>
      <c r="C742" s="6" t="s">
        <v>9</v>
      </c>
      <c r="D742" s="6" t="s">
        <v>149</v>
      </c>
      <c r="E742" s="6" t="s">
        <v>17</v>
      </c>
      <c r="F742" s="6">
        <v>1</v>
      </c>
      <c r="G742" s="6">
        <v>720</v>
      </c>
    </row>
    <row r="743" s="2" customFormat="true" ht="22.5" customHeight="true" spans="1:7">
      <c r="A743" s="6">
        <f>741</f>
        <v>741</v>
      </c>
      <c r="B743" s="6" t="s">
        <v>777</v>
      </c>
      <c r="C743" s="6" t="s">
        <v>9</v>
      </c>
      <c r="D743" s="6" t="s">
        <v>167</v>
      </c>
      <c r="E743" s="6" t="s">
        <v>11</v>
      </c>
      <c r="F743" s="6">
        <v>1</v>
      </c>
      <c r="G743" s="6">
        <v>438</v>
      </c>
    </row>
    <row r="744" s="2" customFormat="true" ht="22.5" customHeight="true" spans="1:7">
      <c r="A744" s="6">
        <f>742</f>
        <v>742</v>
      </c>
      <c r="B744" s="6" t="s">
        <v>778</v>
      </c>
      <c r="C744" s="6" t="s">
        <v>9</v>
      </c>
      <c r="D744" s="6" t="s">
        <v>159</v>
      </c>
      <c r="E744" s="6" t="s">
        <v>17</v>
      </c>
      <c r="F744" s="6">
        <v>3</v>
      </c>
      <c r="G744" s="6">
        <v>1652</v>
      </c>
    </row>
    <row r="745" s="2" customFormat="true" ht="22.5" customHeight="true" spans="1:7">
      <c r="A745" s="6">
        <f>743</f>
        <v>743</v>
      </c>
      <c r="B745" s="6" t="s">
        <v>779</v>
      </c>
      <c r="C745" s="6" t="s">
        <v>9</v>
      </c>
      <c r="D745" s="6" t="s">
        <v>169</v>
      </c>
      <c r="E745" s="6" t="s">
        <v>11</v>
      </c>
      <c r="F745" s="6">
        <v>1</v>
      </c>
      <c r="G745" s="6">
        <v>549</v>
      </c>
    </row>
    <row r="746" s="2" customFormat="true" ht="22.5" customHeight="true" spans="1:7">
      <c r="A746" s="6">
        <f>744</f>
        <v>744</v>
      </c>
      <c r="B746" s="6" t="s">
        <v>780</v>
      </c>
      <c r="C746" s="6" t="s">
        <v>9</v>
      </c>
      <c r="D746" s="6" t="s">
        <v>129</v>
      </c>
      <c r="E746" s="6" t="s">
        <v>17</v>
      </c>
      <c r="F746" s="6">
        <v>1</v>
      </c>
      <c r="G746" s="6">
        <v>729</v>
      </c>
    </row>
    <row r="747" s="2" customFormat="true" ht="22.5" customHeight="true" spans="1:7">
      <c r="A747" s="6">
        <f>745</f>
        <v>745</v>
      </c>
      <c r="B747" s="6" t="s">
        <v>781</v>
      </c>
      <c r="C747" s="6" t="s">
        <v>9</v>
      </c>
      <c r="D747" s="6" t="s">
        <v>260</v>
      </c>
      <c r="E747" s="6" t="s">
        <v>17</v>
      </c>
      <c r="F747" s="6">
        <v>2</v>
      </c>
      <c r="G747" s="6">
        <v>1069</v>
      </c>
    </row>
    <row r="748" s="2" customFormat="true" ht="22.5" customHeight="true" spans="1:7">
      <c r="A748" s="6">
        <f>746</f>
        <v>746</v>
      </c>
      <c r="B748" s="6" t="s">
        <v>782</v>
      </c>
      <c r="C748" s="6" t="s">
        <v>9</v>
      </c>
      <c r="D748" s="6" t="s">
        <v>131</v>
      </c>
      <c r="E748" s="6" t="s">
        <v>17</v>
      </c>
      <c r="F748" s="6">
        <v>1</v>
      </c>
      <c r="G748" s="6">
        <v>647</v>
      </c>
    </row>
    <row r="749" s="2" customFormat="true" ht="22.5" customHeight="true" spans="1:7">
      <c r="A749" s="6">
        <f>747</f>
        <v>747</v>
      </c>
      <c r="B749" s="6" t="s">
        <v>783</v>
      </c>
      <c r="C749" s="6" t="s">
        <v>9</v>
      </c>
      <c r="D749" s="6" t="s">
        <v>164</v>
      </c>
      <c r="E749" s="6" t="s">
        <v>17</v>
      </c>
      <c r="F749" s="6">
        <v>1</v>
      </c>
      <c r="G749" s="6">
        <v>660</v>
      </c>
    </row>
    <row r="750" s="2" customFormat="true" ht="22.5" customHeight="true" spans="1:7">
      <c r="A750" s="6">
        <f>748</f>
        <v>748</v>
      </c>
      <c r="B750" s="6" t="s">
        <v>784</v>
      </c>
      <c r="C750" s="6" t="s">
        <v>9</v>
      </c>
      <c r="D750" s="6" t="s">
        <v>129</v>
      </c>
      <c r="E750" s="6" t="s">
        <v>17</v>
      </c>
      <c r="F750" s="6">
        <v>2</v>
      </c>
      <c r="G750" s="6">
        <v>1129</v>
      </c>
    </row>
    <row r="751" s="2" customFormat="true" ht="22.5" customHeight="true" spans="1:7">
      <c r="A751" s="6">
        <f>749</f>
        <v>749</v>
      </c>
      <c r="B751" s="6" t="s">
        <v>785</v>
      </c>
      <c r="C751" s="6" t="s">
        <v>9</v>
      </c>
      <c r="D751" s="6" t="s">
        <v>122</v>
      </c>
      <c r="E751" s="6" t="s">
        <v>17</v>
      </c>
      <c r="F751" s="6">
        <v>1</v>
      </c>
      <c r="G751" s="6">
        <v>608</v>
      </c>
    </row>
    <row r="752" s="2" customFormat="true" ht="22.5" customHeight="true" spans="1:7">
      <c r="A752" s="6">
        <f>750</f>
        <v>750</v>
      </c>
      <c r="B752" s="6" t="s">
        <v>786</v>
      </c>
      <c r="C752" s="6" t="s">
        <v>9</v>
      </c>
      <c r="D752" s="6" t="s">
        <v>182</v>
      </c>
      <c r="E752" s="6" t="s">
        <v>11</v>
      </c>
      <c r="F752" s="6">
        <v>1</v>
      </c>
      <c r="G752" s="6">
        <v>711</v>
      </c>
    </row>
    <row r="753" s="2" customFormat="true" ht="22.5" customHeight="true" spans="1:7">
      <c r="A753" s="6">
        <f>751</f>
        <v>751</v>
      </c>
      <c r="B753" s="6" t="s">
        <v>787</v>
      </c>
      <c r="C753" s="6" t="s">
        <v>9</v>
      </c>
      <c r="D753" s="6" t="s">
        <v>280</v>
      </c>
      <c r="E753" s="6" t="s">
        <v>17</v>
      </c>
      <c r="F753" s="6">
        <v>2</v>
      </c>
      <c r="G753" s="6">
        <v>1215</v>
      </c>
    </row>
    <row r="754" s="2" customFormat="true" ht="22.5" customHeight="true" spans="1:7">
      <c r="A754" s="6">
        <f>752</f>
        <v>752</v>
      </c>
      <c r="B754" s="6" t="s">
        <v>788</v>
      </c>
      <c r="C754" s="6" t="s">
        <v>9</v>
      </c>
      <c r="D754" s="6" t="s">
        <v>270</v>
      </c>
      <c r="E754" s="6" t="s">
        <v>17</v>
      </c>
      <c r="F754" s="6">
        <v>2</v>
      </c>
      <c r="G754" s="6">
        <v>1071</v>
      </c>
    </row>
    <row r="755" s="2" customFormat="true" ht="22.5" customHeight="true" spans="1:7">
      <c r="A755" s="6">
        <f>753</f>
        <v>753</v>
      </c>
      <c r="B755" s="6" t="s">
        <v>789</v>
      </c>
      <c r="C755" s="6" t="s">
        <v>9</v>
      </c>
      <c r="D755" s="6" t="s">
        <v>164</v>
      </c>
      <c r="E755" s="6" t="s">
        <v>17</v>
      </c>
      <c r="F755" s="6">
        <v>3</v>
      </c>
      <c r="G755" s="6">
        <v>1807</v>
      </c>
    </row>
    <row r="756" s="2" customFormat="true" ht="22.5" customHeight="true" spans="1:7">
      <c r="A756" s="6">
        <f>754</f>
        <v>754</v>
      </c>
      <c r="B756" s="6" t="s">
        <v>790</v>
      </c>
      <c r="C756" s="6" t="s">
        <v>9</v>
      </c>
      <c r="D756" s="6" t="s">
        <v>185</v>
      </c>
      <c r="E756" s="6" t="s">
        <v>17</v>
      </c>
      <c r="F756" s="6">
        <v>1</v>
      </c>
      <c r="G756" s="6">
        <v>709</v>
      </c>
    </row>
    <row r="757" s="2" customFormat="true" ht="22.5" customHeight="true" spans="1:7">
      <c r="A757" s="6">
        <f>755</f>
        <v>755</v>
      </c>
      <c r="B757" s="6" t="s">
        <v>791</v>
      </c>
      <c r="C757" s="6" t="s">
        <v>9</v>
      </c>
      <c r="D757" s="6" t="s">
        <v>270</v>
      </c>
      <c r="E757" s="6" t="s">
        <v>17</v>
      </c>
      <c r="F757" s="6">
        <v>1</v>
      </c>
      <c r="G757" s="6">
        <v>729</v>
      </c>
    </row>
    <row r="758" s="2" customFormat="true" ht="22.5" customHeight="true" spans="1:7">
      <c r="A758" s="6">
        <f>756</f>
        <v>756</v>
      </c>
      <c r="B758" s="6" t="s">
        <v>792</v>
      </c>
      <c r="C758" s="6" t="s">
        <v>9</v>
      </c>
      <c r="D758" s="6" t="s">
        <v>202</v>
      </c>
      <c r="E758" s="6" t="s">
        <v>11</v>
      </c>
      <c r="F758" s="6">
        <v>1</v>
      </c>
      <c r="G758" s="6">
        <v>567</v>
      </c>
    </row>
    <row r="759" s="2" customFormat="true" ht="22.5" customHeight="true" spans="1:7">
      <c r="A759" s="6">
        <f>757</f>
        <v>757</v>
      </c>
      <c r="B759" s="6" t="s">
        <v>793</v>
      </c>
      <c r="C759" s="6" t="s">
        <v>9</v>
      </c>
      <c r="D759" s="6" t="s">
        <v>182</v>
      </c>
      <c r="E759" s="6" t="s">
        <v>17</v>
      </c>
      <c r="F759" s="6">
        <v>3</v>
      </c>
      <c r="G759" s="6">
        <v>1550</v>
      </c>
    </row>
    <row r="760" s="2" customFormat="true" ht="22.5" customHeight="true" spans="1:7">
      <c r="A760" s="6">
        <f>758</f>
        <v>758</v>
      </c>
      <c r="B760" s="6" t="s">
        <v>794</v>
      </c>
      <c r="C760" s="6" t="s">
        <v>9</v>
      </c>
      <c r="D760" s="6" t="s">
        <v>133</v>
      </c>
      <c r="E760" s="6" t="s">
        <v>17</v>
      </c>
      <c r="F760" s="6">
        <v>3</v>
      </c>
      <c r="G760" s="6">
        <v>1686</v>
      </c>
    </row>
    <row r="761" s="2" customFormat="true" ht="22.5" customHeight="true" spans="1:7">
      <c r="A761" s="6">
        <f>759</f>
        <v>759</v>
      </c>
      <c r="B761" s="6" t="s">
        <v>795</v>
      </c>
      <c r="C761" s="6" t="s">
        <v>9</v>
      </c>
      <c r="D761" s="6" t="s">
        <v>131</v>
      </c>
      <c r="E761" s="6" t="s">
        <v>11</v>
      </c>
      <c r="F761" s="6">
        <v>3</v>
      </c>
      <c r="G761" s="6">
        <v>1462</v>
      </c>
    </row>
    <row r="762" s="2" customFormat="true" ht="22.5" customHeight="true" spans="1:7">
      <c r="A762" s="6">
        <f>760</f>
        <v>760</v>
      </c>
      <c r="B762" s="6" t="s">
        <v>796</v>
      </c>
      <c r="C762" s="6" t="s">
        <v>9</v>
      </c>
      <c r="D762" s="6" t="s">
        <v>416</v>
      </c>
      <c r="E762" s="6" t="s">
        <v>17</v>
      </c>
      <c r="F762" s="6">
        <v>1</v>
      </c>
      <c r="G762" s="6">
        <v>657</v>
      </c>
    </row>
    <row r="763" s="2" customFormat="true" ht="22.5" customHeight="true" spans="1:7">
      <c r="A763" s="6">
        <f>761</f>
        <v>761</v>
      </c>
      <c r="B763" s="6" t="s">
        <v>797</v>
      </c>
      <c r="C763" s="6" t="s">
        <v>9</v>
      </c>
      <c r="D763" s="6" t="s">
        <v>416</v>
      </c>
      <c r="E763" s="6" t="s">
        <v>11</v>
      </c>
      <c r="F763" s="6">
        <v>2</v>
      </c>
      <c r="G763" s="6">
        <v>1057</v>
      </c>
    </row>
    <row r="764" s="2" customFormat="true" ht="22.5" customHeight="true" spans="1:7">
      <c r="A764" s="6">
        <f>762</f>
        <v>762</v>
      </c>
      <c r="B764" s="6" t="s">
        <v>798</v>
      </c>
      <c r="C764" s="6" t="s">
        <v>9</v>
      </c>
      <c r="D764" s="6" t="s">
        <v>133</v>
      </c>
      <c r="E764" s="6" t="s">
        <v>11</v>
      </c>
      <c r="F764" s="6">
        <v>2</v>
      </c>
      <c r="G764" s="6">
        <v>1163</v>
      </c>
    </row>
    <row r="765" s="2" customFormat="true" ht="22.5" customHeight="true" spans="1:7">
      <c r="A765" s="6">
        <f>763</f>
        <v>763</v>
      </c>
      <c r="B765" s="6" t="s">
        <v>799</v>
      </c>
      <c r="C765" s="6" t="s">
        <v>9</v>
      </c>
      <c r="D765" s="6" t="s">
        <v>146</v>
      </c>
      <c r="E765" s="6" t="s">
        <v>11</v>
      </c>
      <c r="F765" s="6">
        <v>1</v>
      </c>
      <c r="G765" s="6">
        <v>586</v>
      </c>
    </row>
    <row r="766" s="2" customFormat="true" ht="22.5" customHeight="true" spans="1:7">
      <c r="A766" s="6">
        <f>764</f>
        <v>764</v>
      </c>
      <c r="B766" s="6" t="s">
        <v>800</v>
      </c>
      <c r="C766" s="6" t="s">
        <v>15</v>
      </c>
      <c r="D766" s="6" t="s">
        <v>270</v>
      </c>
      <c r="E766" s="6" t="s">
        <v>17</v>
      </c>
      <c r="F766" s="6">
        <v>1</v>
      </c>
      <c r="G766" s="6">
        <v>729</v>
      </c>
    </row>
    <row r="767" s="2" customFormat="true" ht="22.5" customHeight="true" spans="1:7">
      <c r="A767" s="6">
        <f>765</f>
        <v>765</v>
      </c>
      <c r="B767" s="6" t="s">
        <v>801</v>
      </c>
      <c r="C767" s="6" t="s">
        <v>9</v>
      </c>
      <c r="D767" s="6" t="s">
        <v>209</v>
      </c>
      <c r="E767" s="6" t="s">
        <v>17</v>
      </c>
      <c r="F767" s="6">
        <v>1</v>
      </c>
      <c r="G767" s="6">
        <v>657</v>
      </c>
    </row>
    <row r="768" s="2" customFormat="true" ht="22.5" customHeight="true" spans="1:7">
      <c r="A768" s="6">
        <f>766</f>
        <v>766</v>
      </c>
      <c r="B768" s="6" t="s">
        <v>802</v>
      </c>
      <c r="C768" s="6" t="s">
        <v>9</v>
      </c>
      <c r="D768" s="6" t="s">
        <v>416</v>
      </c>
      <c r="E768" s="6" t="s">
        <v>79</v>
      </c>
      <c r="F768" s="6">
        <v>1</v>
      </c>
      <c r="G768" s="6">
        <v>536</v>
      </c>
    </row>
    <row r="769" s="2" customFormat="true" ht="22.5" customHeight="true" spans="1:7">
      <c r="A769" s="6">
        <f>767</f>
        <v>767</v>
      </c>
      <c r="B769" s="6" t="s">
        <v>803</v>
      </c>
      <c r="C769" s="6" t="s">
        <v>9</v>
      </c>
      <c r="D769" s="6" t="s">
        <v>104</v>
      </c>
      <c r="E769" s="6" t="s">
        <v>17</v>
      </c>
      <c r="F769" s="6">
        <v>1</v>
      </c>
      <c r="G769" s="6">
        <v>632</v>
      </c>
    </row>
    <row r="770" s="2" customFormat="true" ht="22.5" customHeight="true" spans="1:7">
      <c r="A770" s="6">
        <f>768</f>
        <v>768</v>
      </c>
      <c r="B770" s="6" t="s">
        <v>804</v>
      </c>
      <c r="C770" s="6" t="s">
        <v>9</v>
      </c>
      <c r="D770" s="6" t="s">
        <v>131</v>
      </c>
      <c r="E770" s="6" t="s">
        <v>17</v>
      </c>
      <c r="F770" s="6">
        <v>1</v>
      </c>
      <c r="G770" s="6">
        <v>590</v>
      </c>
    </row>
    <row r="771" s="2" customFormat="true" ht="22.5" customHeight="true" spans="1:7">
      <c r="A771" s="6">
        <f>769</f>
        <v>769</v>
      </c>
      <c r="B771" s="6" t="s">
        <v>805</v>
      </c>
      <c r="C771" s="6" t="s">
        <v>9</v>
      </c>
      <c r="D771" s="6" t="s">
        <v>122</v>
      </c>
      <c r="E771" s="6" t="s">
        <v>11</v>
      </c>
      <c r="F771" s="6">
        <v>2</v>
      </c>
      <c r="G771" s="6">
        <v>1003</v>
      </c>
    </row>
    <row r="772" s="2" customFormat="true" ht="22.5" customHeight="true" spans="1:7">
      <c r="A772" s="6">
        <f>770</f>
        <v>770</v>
      </c>
      <c r="B772" s="6" t="s">
        <v>806</v>
      </c>
      <c r="C772" s="6" t="s">
        <v>9</v>
      </c>
      <c r="D772" s="6" t="s">
        <v>222</v>
      </c>
      <c r="E772" s="6" t="s">
        <v>17</v>
      </c>
      <c r="F772" s="6">
        <v>1</v>
      </c>
      <c r="G772" s="6">
        <v>666</v>
      </c>
    </row>
    <row r="773" s="2" customFormat="true" ht="22.5" customHeight="true" spans="1:7">
      <c r="A773" s="6">
        <f>771</f>
        <v>771</v>
      </c>
      <c r="B773" s="6" t="s">
        <v>807</v>
      </c>
      <c r="C773" s="6" t="s">
        <v>15</v>
      </c>
      <c r="D773" s="6" t="s">
        <v>185</v>
      </c>
      <c r="E773" s="6" t="s">
        <v>17</v>
      </c>
      <c r="F773" s="6">
        <v>1</v>
      </c>
      <c r="G773" s="6">
        <v>742</v>
      </c>
    </row>
    <row r="774" s="2" customFormat="true" ht="22.5" customHeight="true" spans="1:7">
      <c r="A774" s="6">
        <f>772</f>
        <v>772</v>
      </c>
      <c r="B774" s="6" t="s">
        <v>808</v>
      </c>
      <c r="C774" s="6" t="s">
        <v>9</v>
      </c>
      <c r="D774" s="6" t="s">
        <v>167</v>
      </c>
      <c r="E774" s="6" t="s">
        <v>17</v>
      </c>
      <c r="F774" s="6">
        <v>3</v>
      </c>
      <c r="G774" s="6">
        <v>1654</v>
      </c>
    </row>
    <row r="775" s="2" customFormat="true" ht="22.5" customHeight="true" spans="1:7">
      <c r="A775" s="6">
        <f>773</f>
        <v>773</v>
      </c>
      <c r="B775" s="6" t="s">
        <v>809</v>
      </c>
      <c r="C775" s="6" t="s">
        <v>9</v>
      </c>
      <c r="D775" s="6" t="s">
        <v>13</v>
      </c>
      <c r="E775" s="6" t="s">
        <v>17</v>
      </c>
      <c r="F775" s="6">
        <v>3</v>
      </c>
      <c r="G775" s="6">
        <v>1659</v>
      </c>
    </row>
    <row r="776" s="2" customFormat="true" ht="22.5" customHeight="true" spans="1:7">
      <c r="A776" s="6">
        <f>774</f>
        <v>774</v>
      </c>
      <c r="B776" s="6" t="s">
        <v>810</v>
      </c>
      <c r="C776" s="6" t="s">
        <v>9</v>
      </c>
      <c r="D776" s="6" t="s">
        <v>222</v>
      </c>
      <c r="E776" s="6" t="s">
        <v>17</v>
      </c>
      <c r="F776" s="6">
        <v>1</v>
      </c>
      <c r="G776" s="6">
        <v>644</v>
      </c>
    </row>
    <row r="777" s="2" customFormat="true" ht="22.5" customHeight="true" spans="1:7">
      <c r="A777" s="6">
        <f>775</f>
        <v>775</v>
      </c>
      <c r="B777" s="6" t="s">
        <v>811</v>
      </c>
      <c r="C777" s="6" t="s">
        <v>9</v>
      </c>
      <c r="D777" s="6" t="s">
        <v>182</v>
      </c>
      <c r="E777" s="6" t="s">
        <v>17</v>
      </c>
      <c r="F777" s="6">
        <v>3</v>
      </c>
      <c r="G777" s="6">
        <v>1671</v>
      </c>
    </row>
    <row r="778" s="2" customFormat="true" ht="22.5" customHeight="true" spans="1:7">
      <c r="A778" s="6">
        <f>776</f>
        <v>776</v>
      </c>
      <c r="B778" s="6" t="s">
        <v>812</v>
      </c>
      <c r="C778" s="6" t="s">
        <v>9</v>
      </c>
      <c r="D778" s="6" t="s">
        <v>16</v>
      </c>
      <c r="E778" s="6" t="s">
        <v>17</v>
      </c>
      <c r="F778" s="6">
        <v>4</v>
      </c>
      <c r="G778" s="6">
        <v>2627</v>
      </c>
    </row>
    <row r="779" s="2" customFormat="true" ht="22.5" customHeight="true" spans="1:7">
      <c r="A779" s="6">
        <f>777</f>
        <v>777</v>
      </c>
      <c r="B779" s="6" t="s">
        <v>813</v>
      </c>
      <c r="C779" s="6" t="s">
        <v>9</v>
      </c>
      <c r="D779" s="6" t="s">
        <v>180</v>
      </c>
      <c r="E779" s="6" t="s">
        <v>11</v>
      </c>
      <c r="F779" s="6">
        <v>3</v>
      </c>
      <c r="G779" s="6">
        <v>1534</v>
      </c>
    </row>
    <row r="780" s="2" customFormat="true" ht="22.5" customHeight="true" spans="1:7">
      <c r="A780" s="6">
        <f>778</f>
        <v>778</v>
      </c>
      <c r="B780" s="6" t="s">
        <v>814</v>
      </c>
      <c r="C780" s="6" t="s">
        <v>9</v>
      </c>
      <c r="D780" s="6" t="s">
        <v>131</v>
      </c>
      <c r="E780" s="6" t="s">
        <v>17</v>
      </c>
      <c r="F780" s="6">
        <v>3</v>
      </c>
      <c r="G780" s="6">
        <v>1562</v>
      </c>
    </row>
    <row r="781" s="2" customFormat="true" ht="22.5" customHeight="true" spans="1:7">
      <c r="A781" s="6">
        <f>779</f>
        <v>779</v>
      </c>
      <c r="B781" s="6" t="s">
        <v>815</v>
      </c>
      <c r="C781" s="6" t="s">
        <v>15</v>
      </c>
      <c r="D781" s="6" t="s">
        <v>169</v>
      </c>
      <c r="E781" s="6" t="s">
        <v>17</v>
      </c>
      <c r="F781" s="6">
        <v>1</v>
      </c>
      <c r="G781" s="6">
        <v>701</v>
      </c>
    </row>
    <row r="782" s="2" customFormat="true" ht="22.5" customHeight="true" spans="1:7">
      <c r="A782" s="6">
        <f>780</f>
        <v>780</v>
      </c>
      <c r="B782" s="6" t="s">
        <v>816</v>
      </c>
      <c r="C782" s="6" t="s">
        <v>9</v>
      </c>
      <c r="D782" s="6" t="s">
        <v>146</v>
      </c>
      <c r="E782" s="6" t="s">
        <v>17</v>
      </c>
      <c r="F782" s="6">
        <v>1</v>
      </c>
      <c r="G782" s="6">
        <v>647</v>
      </c>
    </row>
    <row r="783" s="2" customFormat="true" ht="22.5" customHeight="true" spans="1:7">
      <c r="A783" s="6">
        <f>781</f>
        <v>781</v>
      </c>
      <c r="B783" s="6" t="s">
        <v>817</v>
      </c>
      <c r="C783" s="6" t="s">
        <v>9</v>
      </c>
      <c r="D783" s="6" t="s">
        <v>222</v>
      </c>
      <c r="E783" s="6" t="s">
        <v>17</v>
      </c>
      <c r="F783" s="6">
        <v>2</v>
      </c>
      <c r="G783" s="6">
        <v>1321</v>
      </c>
    </row>
    <row r="784" s="2" customFormat="true" ht="22.5" customHeight="true" spans="1:7">
      <c r="A784" s="6">
        <f>782</f>
        <v>782</v>
      </c>
      <c r="B784" s="6" t="s">
        <v>818</v>
      </c>
      <c r="C784" s="6" t="s">
        <v>9</v>
      </c>
      <c r="D784" s="6" t="s">
        <v>202</v>
      </c>
      <c r="E784" s="6" t="s">
        <v>17</v>
      </c>
      <c r="F784" s="6">
        <v>3</v>
      </c>
      <c r="G784" s="6">
        <v>1880</v>
      </c>
    </row>
    <row r="785" s="2" customFormat="true" ht="22.5" customHeight="true" spans="1:7">
      <c r="A785" s="6">
        <f>783</f>
        <v>783</v>
      </c>
      <c r="B785" s="6" t="s">
        <v>819</v>
      </c>
      <c r="C785" s="6" t="s">
        <v>9</v>
      </c>
      <c r="D785" s="6" t="s">
        <v>136</v>
      </c>
      <c r="E785" s="6" t="s">
        <v>17</v>
      </c>
      <c r="F785" s="6">
        <v>1</v>
      </c>
      <c r="G785" s="6">
        <v>690</v>
      </c>
    </row>
    <row r="786" s="2" customFormat="true" ht="22.5" customHeight="true" spans="1:7">
      <c r="A786" s="6">
        <f>784</f>
        <v>784</v>
      </c>
      <c r="B786" s="6" t="s">
        <v>820</v>
      </c>
      <c r="C786" s="6" t="s">
        <v>15</v>
      </c>
      <c r="D786" s="6" t="s">
        <v>159</v>
      </c>
      <c r="E786" s="6" t="s">
        <v>11</v>
      </c>
      <c r="F786" s="6">
        <v>1</v>
      </c>
      <c r="G786" s="6">
        <v>483</v>
      </c>
    </row>
    <row r="787" s="2" customFormat="true" ht="22.5" customHeight="true" spans="1:7">
      <c r="A787" s="6">
        <f>785</f>
        <v>785</v>
      </c>
      <c r="B787" s="6" t="s">
        <v>821</v>
      </c>
      <c r="C787" s="6" t="s">
        <v>9</v>
      </c>
      <c r="D787" s="6" t="s">
        <v>188</v>
      </c>
      <c r="E787" s="6" t="s">
        <v>17</v>
      </c>
      <c r="F787" s="6">
        <v>3</v>
      </c>
      <c r="G787" s="6">
        <v>1629</v>
      </c>
    </row>
    <row r="788" s="2" customFormat="true" ht="22.5" customHeight="true" spans="1:7">
      <c r="A788" s="6">
        <f>786</f>
        <v>786</v>
      </c>
      <c r="B788" s="6" t="s">
        <v>822</v>
      </c>
      <c r="C788" s="6" t="s">
        <v>9</v>
      </c>
      <c r="D788" s="6" t="s">
        <v>122</v>
      </c>
      <c r="E788" s="6" t="s">
        <v>11</v>
      </c>
      <c r="F788" s="6">
        <v>2</v>
      </c>
      <c r="G788" s="6">
        <v>884</v>
      </c>
    </row>
    <row r="789" s="2" customFormat="true" ht="22.5" customHeight="true" spans="1:7">
      <c r="A789" s="6">
        <f>787</f>
        <v>787</v>
      </c>
      <c r="B789" s="6" t="s">
        <v>823</v>
      </c>
      <c r="C789" s="6" t="s">
        <v>15</v>
      </c>
      <c r="D789" s="6" t="s">
        <v>164</v>
      </c>
      <c r="E789" s="6" t="s">
        <v>17</v>
      </c>
      <c r="F789" s="6">
        <v>2</v>
      </c>
      <c r="G789" s="6">
        <v>1069</v>
      </c>
    </row>
    <row r="790" s="2" customFormat="true" ht="22.5" customHeight="true" spans="1:7">
      <c r="A790" s="6">
        <f>788</f>
        <v>788</v>
      </c>
      <c r="B790" s="6" t="s">
        <v>824</v>
      </c>
      <c r="C790" s="6" t="s">
        <v>9</v>
      </c>
      <c r="D790" s="6" t="s">
        <v>202</v>
      </c>
      <c r="E790" s="6" t="s">
        <v>11</v>
      </c>
      <c r="F790" s="6">
        <v>2</v>
      </c>
      <c r="G790" s="6">
        <v>1013</v>
      </c>
    </row>
    <row r="791" s="2" customFormat="true" ht="22.5" customHeight="true" spans="1:7">
      <c r="A791" s="6">
        <f>789</f>
        <v>789</v>
      </c>
      <c r="B791" s="6" t="s">
        <v>825</v>
      </c>
      <c r="C791" s="6" t="s">
        <v>9</v>
      </c>
      <c r="D791" s="6" t="s">
        <v>16</v>
      </c>
      <c r="E791" s="6" t="s">
        <v>17</v>
      </c>
      <c r="F791" s="6">
        <v>2</v>
      </c>
      <c r="G791" s="6">
        <v>1380</v>
      </c>
    </row>
    <row r="792" s="2" customFormat="true" ht="22.5" customHeight="true" spans="1:7">
      <c r="A792" s="6">
        <f>790</f>
        <v>790</v>
      </c>
      <c r="B792" s="6" t="s">
        <v>826</v>
      </c>
      <c r="C792" s="6" t="s">
        <v>9</v>
      </c>
      <c r="D792" s="6" t="s">
        <v>117</v>
      </c>
      <c r="E792" s="6" t="s">
        <v>17</v>
      </c>
      <c r="F792" s="6">
        <v>1</v>
      </c>
      <c r="G792" s="6">
        <v>645</v>
      </c>
    </row>
    <row r="793" s="2" customFormat="true" ht="22.5" customHeight="true" spans="1:7">
      <c r="A793" s="6">
        <f>791</f>
        <v>791</v>
      </c>
      <c r="B793" s="6" t="s">
        <v>827</v>
      </c>
      <c r="C793" s="6" t="s">
        <v>9</v>
      </c>
      <c r="D793" s="6" t="s">
        <v>180</v>
      </c>
      <c r="E793" s="6" t="s">
        <v>11</v>
      </c>
      <c r="F793" s="6">
        <v>4</v>
      </c>
      <c r="G793" s="6">
        <v>2026</v>
      </c>
    </row>
    <row r="794" s="2" customFormat="true" ht="22.5" customHeight="true" spans="1:7">
      <c r="A794" s="6">
        <f>792</f>
        <v>792</v>
      </c>
      <c r="B794" s="6" t="s">
        <v>828</v>
      </c>
      <c r="C794" s="6" t="s">
        <v>9</v>
      </c>
      <c r="D794" s="6" t="s">
        <v>49</v>
      </c>
      <c r="E794" s="6" t="s">
        <v>17</v>
      </c>
      <c r="F794" s="6">
        <v>1</v>
      </c>
      <c r="G794" s="6">
        <v>695</v>
      </c>
    </row>
    <row r="795" s="2" customFormat="true" ht="22.5" customHeight="true" spans="1:7">
      <c r="A795" s="6">
        <f>793</f>
        <v>793</v>
      </c>
      <c r="B795" s="6" t="s">
        <v>829</v>
      </c>
      <c r="C795" s="6" t="s">
        <v>9</v>
      </c>
      <c r="D795" s="6" t="s">
        <v>122</v>
      </c>
      <c r="E795" s="6" t="s">
        <v>17</v>
      </c>
      <c r="F795" s="6">
        <v>3</v>
      </c>
      <c r="G795" s="6">
        <v>1746</v>
      </c>
    </row>
    <row r="796" s="2" customFormat="true" ht="22.5" customHeight="true" spans="1:7">
      <c r="A796" s="6">
        <f>794</f>
        <v>794</v>
      </c>
      <c r="B796" s="6" t="s">
        <v>830</v>
      </c>
      <c r="C796" s="6" t="s">
        <v>9</v>
      </c>
      <c r="D796" s="6" t="s">
        <v>16</v>
      </c>
      <c r="E796" s="6" t="s">
        <v>17</v>
      </c>
      <c r="F796" s="6">
        <v>1</v>
      </c>
      <c r="G796" s="6">
        <v>729</v>
      </c>
    </row>
    <row r="797" s="2" customFormat="true" ht="22.5" customHeight="true" spans="1:7">
      <c r="A797" s="6">
        <f>795</f>
        <v>795</v>
      </c>
      <c r="B797" s="6" t="s">
        <v>831</v>
      </c>
      <c r="C797" s="6" t="s">
        <v>9</v>
      </c>
      <c r="D797" s="6" t="s">
        <v>192</v>
      </c>
      <c r="E797" s="6" t="s">
        <v>17</v>
      </c>
      <c r="F797" s="6">
        <v>1</v>
      </c>
      <c r="G797" s="6">
        <v>614</v>
      </c>
    </row>
    <row r="798" s="2" customFormat="true" ht="22.5" customHeight="true" spans="1:7">
      <c r="A798" s="6">
        <f>796</f>
        <v>796</v>
      </c>
      <c r="B798" s="6" t="s">
        <v>832</v>
      </c>
      <c r="C798" s="6" t="s">
        <v>9</v>
      </c>
      <c r="D798" s="6" t="s">
        <v>185</v>
      </c>
      <c r="E798" s="6" t="s">
        <v>17</v>
      </c>
      <c r="F798" s="6">
        <v>1</v>
      </c>
      <c r="G798" s="6">
        <v>729</v>
      </c>
    </row>
    <row r="799" s="2" customFormat="true" ht="22.5" customHeight="true" spans="1:7">
      <c r="A799" s="6">
        <f>797</f>
        <v>797</v>
      </c>
      <c r="B799" s="6" t="s">
        <v>833</v>
      </c>
      <c r="C799" s="6" t="s">
        <v>9</v>
      </c>
      <c r="D799" s="6" t="s">
        <v>416</v>
      </c>
      <c r="E799" s="6" t="s">
        <v>17</v>
      </c>
      <c r="F799" s="6">
        <v>2</v>
      </c>
      <c r="G799" s="6">
        <v>1069</v>
      </c>
    </row>
    <row r="800" s="2" customFormat="true" ht="22.5" customHeight="true" spans="1:7">
      <c r="A800" s="6">
        <f>798</f>
        <v>798</v>
      </c>
      <c r="B800" s="6" t="s">
        <v>834</v>
      </c>
      <c r="C800" s="6" t="s">
        <v>9</v>
      </c>
      <c r="D800" s="6" t="s">
        <v>49</v>
      </c>
      <c r="E800" s="6" t="s">
        <v>17</v>
      </c>
      <c r="F800" s="6">
        <v>1</v>
      </c>
      <c r="G800" s="6">
        <v>647</v>
      </c>
    </row>
    <row r="801" s="2" customFormat="true" ht="22.5" customHeight="true" spans="1:7">
      <c r="A801" s="6">
        <f>799</f>
        <v>799</v>
      </c>
      <c r="B801" s="6" t="s">
        <v>835</v>
      </c>
      <c r="C801" s="6" t="s">
        <v>15</v>
      </c>
      <c r="D801" s="6" t="s">
        <v>104</v>
      </c>
      <c r="E801" s="6" t="s">
        <v>17</v>
      </c>
      <c r="F801" s="6">
        <v>1</v>
      </c>
      <c r="G801" s="6">
        <v>661</v>
      </c>
    </row>
    <row r="802" s="2" customFormat="true" ht="22.5" customHeight="true" spans="1:7">
      <c r="A802" s="6">
        <f>800</f>
        <v>800</v>
      </c>
      <c r="B802" s="6" t="s">
        <v>836</v>
      </c>
      <c r="C802" s="6" t="s">
        <v>9</v>
      </c>
      <c r="D802" s="6" t="s">
        <v>209</v>
      </c>
      <c r="E802" s="6" t="s">
        <v>17</v>
      </c>
      <c r="F802" s="6">
        <v>3</v>
      </c>
      <c r="G802" s="6">
        <v>1556</v>
      </c>
    </row>
    <row r="803" s="2" customFormat="true" ht="22.5" customHeight="true" spans="1:7">
      <c r="A803" s="6">
        <f>801</f>
        <v>801</v>
      </c>
      <c r="B803" s="6" t="s">
        <v>837</v>
      </c>
      <c r="C803" s="6" t="s">
        <v>9</v>
      </c>
      <c r="D803" s="6" t="s">
        <v>222</v>
      </c>
      <c r="E803" s="6" t="s">
        <v>17</v>
      </c>
      <c r="F803" s="6">
        <v>1</v>
      </c>
      <c r="G803" s="6">
        <v>644</v>
      </c>
    </row>
    <row r="804" s="2" customFormat="true" ht="22.5" customHeight="true" spans="1:7">
      <c r="A804" s="6">
        <f>802</f>
        <v>802</v>
      </c>
      <c r="B804" s="6" t="s">
        <v>838</v>
      </c>
      <c r="C804" s="6" t="s">
        <v>9</v>
      </c>
      <c r="D804" s="6" t="s">
        <v>136</v>
      </c>
      <c r="E804" s="6" t="s">
        <v>17</v>
      </c>
      <c r="F804" s="6">
        <v>4</v>
      </c>
      <c r="G804" s="6">
        <v>2217</v>
      </c>
    </row>
    <row r="805" s="2" customFormat="true" ht="22.5" customHeight="true" spans="1:7">
      <c r="A805" s="6">
        <f>803</f>
        <v>803</v>
      </c>
      <c r="B805" s="6" t="s">
        <v>839</v>
      </c>
      <c r="C805" s="6" t="s">
        <v>15</v>
      </c>
      <c r="D805" s="6" t="s">
        <v>133</v>
      </c>
      <c r="E805" s="6" t="s">
        <v>17</v>
      </c>
      <c r="F805" s="6">
        <v>1</v>
      </c>
      <c r="G805" s="6">
        <v>489</v>
      </c>
    </row>
    <row r="806" s="2" customFormat="true" ht="22.5" customHeight="true" spans="1:7">
      <c r="A806" s="6">
        <f>804</f>
        <v>804</v>
      </c>
      <c r="B806" s="6" t="s">
        <v>840</v>
      </c>
      <c r="C806" s="6" t="s">
        <v>9</v>
      </c>
      <c r="D806" s="6" t="s">
        <v>146</v>
      </c>
      <c r="E806" s="6" t="s">
        <v>17</v>
      </c>
      <c r="F806" s="6">
        <v>4</v>
      </c>
      <c r="G806" s="6">
        <v>2022</v>
      </c>
    </row>
    <row r="807" s="2" customFormat="true" ht="22.5" customHeight="true" spans="1:7">
      <c r="A807" s="6">
        <f>805</f>
        <v>805</v>
      </c>
      <c r="B807" s="6" t="s">
        <v>841</v>
      </c>
      <c r="C807" s="6" t="s">
        <v>9</v>
      </c>
      <c r="D807" s="6" t="s">
        <v>182</v>
      </c>
      <c r="E807" s="6" t="s">
        <v>17</v>
      </c>
      <c r="F807" s="6">
        <v>3</v>
      </c>
      <c r="G807" s="6">
        <v>1656</v>
      </c>
    </row>
    <row r="808" s="2" customFormat="true" ht="22.5" customHeight="true" spans="1:7">
      <c r="A808" s="6">
        <f>806</f>
        <v>806</v>
      </c>
      <c r="B808" s="6" t="s">
        <v>842</v>
      </c>
      <c r="C808" s="6" t="s">
        <v>15</v>
      </c>
      <c r="D808" s="6" t="s">
        <v>182</v>
      </c>
      <c r="E808" s="6" t="s">
        <v>17</v>
      </c>
      <c r="F808" s="6">
        <v>2</v>
      </c>
      <c r="G808" s="6">
        <v>1276</v>
      </c>
    </row>
    <row r="809" s="2" customFormat="true" ht="22.5" customHeight="true" spans="1:7">
      <c r="A809" s="6">
        <f>807</f>
        <v>807</v>
      </c>
      <c r="B809" s="6" t="s">
        <v>843</v>
      </c>
      <c r="C809" s="6" t="s">
        <v>9</v>
      </c>
      <c r="D809" s="6" t="s">
        <v>146</v>
      </c>
      <c r="E809" s="6" t="s">
        <v>17</v>
      </c>
      <c r="F809" s="6">
        <v>1</v>
      </c>
      <c r="G809" s="6">
        <v>667</v>
      </c>
    </row>
    <row r="810" s="2" customFormat="true" ht="22.5" customHeight="true" spans="1:7">
      <c r="A810" s="6">
        <f>808</f>
        <v>808</v>
      </c>
      <c r="B810" s="6" t="s">
        <v>844</v>
      </c>
      <c r="C810" s="6" t="s">
        <v>9</v>
      </c>
      <c r="D810" s="6" t="s">
        <v>202</v>
      </c>
      <c r="E810" s="6" t="s">
        <v>17</v>
      </c>
      <c r="F810" s="6">
        <v>1</v>
      </c>
      <c r="G810" s="6">
        <v>647</v>
      </c>
    </row>
    <row r="811" s="2" customFormat="true" ht="22.5" customHeight="true" spans="1:7">
      <c r="A811" s="6">
        <f>809</f>
        <v>809</v>
      </c>
      <c r="B811" s="6" t="s">
        <v>845</v>
      </c>
      <c r="C811" s="6" t="s">
        <v>9</v>
      </c>
      <c r="D811" s="6" t="s">
        <v>131</v>
      </c>
      <c r="E811" s="6" t="s">
        <v>17</v>
      </c>
      <c r="F811" s="6">
        <v>1</v>
      </c>
      <c r="G811" s="6">
        <v>657</v>
      </c>
    </row>
    <row r="812" s="2" customFormat="true" ht="22.5" customHeight="true" spans="1:7">
      <c r="A812" s="6">
        <f>810</f>
        <v>810</v>
      </c>
      <c r="B812" s="6" t="s">
        <v>846</v>
      </c>
      <c r="C812" s="6" t="s">
        <v>9</v>
      </c>
      <c r="D812" s="6" t="s">
        <v>138</v>
      </c>
      <c r="E812" s="6" t="s">
        <v>17</v>
      </c>
      <c r="F812" s="6">
        <v>1</v>
      </c>
      <c r="G812" s="6">
        <v>637</v>
      </c>
    </row>
    <row r="813" s="2" customFormat="true" ht="22.5" customHeight="true" spans="1:7">
      <c r="A813" s="6">
        <f>811</f>
        <v>811</v>
      </c>
      <c r="B813" s="6" t="s">
        <v>847</v>
      </c>
      <c r="C813" s="6" t="s">
        <v>9</v>
      </c>
      <c r="D813" s="6" t="s">
        <v>239</v>
      </c>
      <c r="E813" s="6" t="s">
        <v>17</v>
      </c>
      <c r="F813" s="6">
        <v>2</v>
      </c>
      <c r="G813" s="6">
        <v>1288</v>
      </c>
    </row>
    <row r="814" s="2" customFormat="true" ht="22.5" customHeight="true" spans="1:7">
      <c r="A814" s="6">
        <f>812</f>
        <v>812</v>
      </c>
      <c r="B814" s="6" t="s">
        <v>848</v>
      </c>
      <c r="C814" s="6" t="s">
        <v>9</v>
      </c>
      <c r="D814" s="6" t="s">
        <v>49</v>
      </c>
      <c r="E814" s="6" t="s">
        <v>17</v>
      </c>
      <c r="F814" s="6">
        <v>1</v>
      </c>
      <c r="G814" s="6">
        <v>642</v>
      </c>
    </row>
    <row r="815" s="2" customFormat="true" ht="22.5" customHeight="true" spans="1:7">
      <c r="A815" s="6">
        <f>813</f>
        <v>813</v>
      </c>
      <c r="B815" s="6" t="s">
        <v>849</v>
      </c>
      <c r="C815" s="6" t="s">
        <v>9</v>
      </c>
      <c r="D815" s="6" t="s">
        <v>122</v>
      </c>
      <c r="E815" s="6" t="s">
        <v>17</v>
      </c>
      <c r="F815" s="6">
        <v>4</v>
      </c>
      <c r="G815" s="6">
        <v>2309</v>
      </c>
    </row>
    <row r="816" s="2" customFormat="true" ht="22.5" customHeight="true" spans="1:7">
      <c r="A816" s="6">
        <f>814</f>
        <v>814</v>
      </c>
      <c r="B816" s="6" t="s">
        <v>850</v>
      </c>
      <c r="C816" s="6" t="s">
        <v>9</v>
      </c>
      <c r="D816" s="6" t="s">
        <v>131</v>
      </c>
      <c r="E816" s="6" t="s">
        <v>17</v>
      </c>
      <c r="F816" s="6">
        <v>1</v>
      </c>
      <c r="G816" s="6">
        <v>624</v>
      </c>
    </row>
    <row r="817" s="2" customFormat="true" ht="22.5" customHeight="true" spans="1:7">
      <c r="A817" s="6">
        <f>815</f>
        <v>815</v>
      </c>
      <c r="B817" s="6" t="s">
        <v>851</v>
      </c>
      <c r="C817" s="6" t="s">
        <v>9</v>
      </c>
      <c r="D817" s="6" t="s">
        <v>192</v>
      </c>
      <c r="E817" s="6" t="s">
        <v>17</v>
      </c>
      <c r="F817" s="6">
        <v>1</v>
      </c>
      <c r="G817" s="6">
        <v>690</v>
      </c>
    </row>
    <row r="818" s="2" customFormat="true" ht="22.5" customHeight="true" spans="1:7">
      <c r="A818" s="6">
        <f>816</f>
        <v>816</v>
      </c>
      <c r="B818" s="6" t="s">
        <v>852</v>
      </c>
      <c r="C818" s="6" t="s">
        <v>9</v>
      </c>
      <c r="D818" s="6" t="s">
        <v>129</v>
      </c>
      <c r="E818" s="6" t="s">
        <v>17</v>
      </c>
      <c r="F818" s="6">
        <v>4</v>
      </c>
      <c r="G818" s="6">
        <v>2066</v>
      </c>
    </row>
    <row r="819" s="2" customFormat="true" ht="22.5" customHeight="true" spans="1:7">
      <c r="A819" s="6">
        <f>817</f>
        <v>817</v>
      </c>
      <c r="B819" s="6" t="s">
        <v>853</v>
      </c>
      <c r="C819" s="6" t="s">
        <v>9</v>
      </c>
      <c r="D819" s="6" t="s">
        <v>202</v>
      </c>
      <c r="E819" s="6" t="s">
        <v>17</v>
      </c>
      <c r="F819" s="6">
        <v>3</v>
      </c>
      <c r="G819" s="6">
        <v>1484</v>
      </c>
    </row>
    <row r="820" s="2" customFormat="true" ht="22.5" customHeight="true" spans="1:7">
      <c r="A820" s="6">
        <f>818</f>
        <v>818</v>
      </c>
      <c r="B820" s="6" t="s">
        <v>854</v>
      </c>
      <c r="C820" s="6" t="s">
        <v>9</v>
      </c>
      <c r="D820" s="6" t="s">
        <v>167</v>
      </c>
      <c r="E820" s="6" t="s">
        <v>17</v>
      </c>
      <c r="F820" s="6">
        <v>3</v>
      </c>
      <c r="G820" s="6">
        <v>1668</v>
      </c>
    </row>
    <row r="821" s="2" customFormat="true" ht="22.5" customHeight="true" spans="1:7">
      <c r="A821" s="6">
        <f>819</f>
        <v>819</v>
      </c>
      <c r="B821" s="6" t="s">
        <v>855</v>
      </c>
      <c r="C821" s="6" t="s">
        <v>9</v>
      </c>
      <c r="D821" s="6" t="s">
        <v>161</v>
      </c>
      <c r="E821" s="6" t="s">
        <v>17</v>
      </c>
      <c r="F821" s="6">
        <v>1</v>
      </c>
      <c r="G821" s="6">
        <v>657</v>
      </c>
    </row>
    <row r="822" s="2" customFormat="true" ht="22.5" customHeight="true" spans="1:7">
      <c r="A822" s="6">
        <f>820</f>
        <v>820</v>
      </c>
      <c r="B822" s="6" t="s">
        <v>856</v>
      </c>
      <c r="C822" s="6" t="s">
        <v>15</v>
      </c>
      <c r="D822" s="6" t="s">
        <v>49</v>
      </c>
      <c r="E822" s="6" t="s">
        <v>17</v>
      </c>
      <c r="F822" s="6">
        <v>1</v>
      </c>
      <c r="G822" s="6">
        <v>664</v>
      </c>
    </row>
    <row r="823" s="2" customFormat="true" ht="22.5" customHeight="true" spans="1:7">
      <c r="A823" s="6">
        <f>821</f>
        <v>821</v>
      </c>
      <c r="B823" s="6" t="s">
        <v>857</v>
      </c>
      <c r="C823" s="6" t="s">
        <v>9</v>
      </c>
      <c r="D823" s="6" t="s">
        <v>146</v>
      </c>
      <c r="E823" s="6" t="s">
        <v>17</v>
      </c>
      <c r="F823" s="6">
        <v>4</v>
      </c>
      <c r="G823" s="6">
        <v>2317</v>
      </c>
    </row>
    <row r="824" s="2" customFormat="true" ht="22.5" customHeight="true" spans="1:7">
      <c r="A824" s="6">
        <f>822</f>
        <v>822</v>
      </c>
      <c r="B824" s="6" t="s">
        <v>858</v>
      </c>
      <c r="C824" s="6" t="s">
        <v>9</v>
      </c>
      <c r="D824" s="6" t="s">
        <v>209</v>
      </c>
      <c r="E824" s="6" t="s">
        <v>17</v>
      </c>
      <c r="F824" s="6">
        <v>2</v>
      </c>
      <c r="G824" s="6">
        <v>1371</v>
      </c>
    </row>
    <row r="825" s="2" customFormat="true" ht="22.5" customHeight="true" spans="1:7">
      <c r="A825" s="6">
        <f>823</f>
        <v>823</v>
      </c>
      <c r="B825" s="6" t="s">
        <v>859</v>
      </c>
      <c r="C825" s="6" t="s">
        <v>9</v>
      </c>
      <c r="D825" s="6" t="s">
        <v>239</v>
      </c>
      <c r="E825" s="6" t="s">
        <v>17</v>
      </c>
      <c r="F825" s="6">
        <v>3</v>
      </c>
      <c r="G825" s="6">
        <v>1668</v>
      </c>
    </row>
    <row r="826" s="2" customFormat="true" ht="22.5" customHeight="true" spans="1:7">
      <c r="A826" s="6">
        <f>824</f>
        <v>824</v>
      </c>
      <c r="B826" s="6" t="s">
        <v>860</v>
      </c>
      <c r="C826" s="6" t="s">
        <v>9</v>
      </c>
      <c r="D826" s="6" t="s">
        <v>185</v>
      </c>
      <c r="E826" s="6" t="s">
        <v>17</v>
      </c>
      <c r="F826" s="6">
        <v>1</v>
      </c>
      <c r="G826" s="6">
        <v>627</v>
      </c>
    </row>
    <row r="827" s="2" customFormat="true" ht="22.5" customHeight="true" spans="1:7">
      <c r="A827" s="6">
        <f>825</f>
        <v>825</v>
      </c>
      <c r="B827" s="6" t="s">
        <v>861</v>
      </c>
      <c r="C827" s="6" t="s">
        <v>9</v>
      </c>
      <c r="D827" s="6" t="s">
        <v>182</v>
      </c>
      <c r="E827" s="6" t="s">
        <v>17</v>
      </c>
      <c r="F827" s="6">
        <v>2</v>
      </c>
      <c r="G827" s="6">
        <v>1296</v>
      </c>
    </row>
    <row r="828" s="2" customFormat="true" ht="22.5" customHeight="true" spans="1:7">
      <c r="A828" s="6">
        <f>826</f>
        <v>826</v>
      </c>
      <c r="B828" s="6" t="s">
        <v>862</v>
      </c>
      <c r="C828" s="6" t="s">
        <v>9</v>
      </c>
      <c r="D828" s="6" t="s">
        <v>159</v>
      </c>
      <c r="E828" s="6" t="s">
        <v>17</v>
      </c>
      <c r="F828" s="6">
        <v>3</v>
      </c>
      <c r="G828" s="6">
        <v>1638</v>
      </c>
    </row>
    <row r="829" s="2" customFormat="true" ht="22.5" customHeight="true" spans="1:7">
      <c r="A829" s="6">
        <f>827</f>
        <v>827</v>
      </c>
      <c r="B829" s="6" t="s">
        <v>863</v>
      </c>
      <c r="C829" s="6" t="s">
        <v>9</v>
      </c>
      <c r="D829" s="6" t="s">
        <v>67</v>
      </c>
      <c r="E829" s="6" t="s">
        <v>11</v>
      </c>
      <c r="F829" s="6">
        <v>4</v>
      </c>
      <c r="G829" s="6">
        <v>2344</v>
      </c>
    </row>
    <row r="830" s="2" customFormat="true" ht="22.5" customHeight="true" spans="1:7">
      <c r="A830" s="6">
        <f>828</f>
        <v>828</v>
      </c>
      <c r="B830" s="6" t="s">
        <v>864</v>
      </c>
      <c r="C830" s="6" t="s">
        <v>9</v>
      </c>
      <c r="D830" s="6" t="s">
        <v>185</v>
      </c>
      <c r="E830" s="6" t="s">
        <v>17</v>
      </c>
      <c r="F830" s="6">
        <v>1</v>
      </c>
      <c r="G830" s="6">
        <v>729</v>
      </c>
    </row>
    <row r="831" s="2" customFormat="true" ht="22.5" customHeight="true" spans="1:7">
      <c r="A831" s="6">
        <f>829</f>
        <v>829</v>
      </c>
      <c r="B831" s="6" t="s">
        <v>865</v>
      </c>
      <c r="C831" s="6" t="s">
        <v>9</v>
      </c>
      <c r="D831" s="6" t="s">
        <v>146</v>
      </c>
      <c r="E831" s="6" t="s">
        <v>17</v>
      </c>
      <c r="F831" s="6">
        <v>2</v>
      </c>
      <c r="G831" s="6">
        <v>1063</v>
      </c>
    </row>
    <row r="832" s="2" customFormat="true" ht="22.5" customHeight="true" spans="1:7">
      <c r="A832" s="6">
        <f>830</f>
        <v>830</v>
      </c>
      <c r="B832" s="6" t="s">
        <v>866</v>
      </c>
      <c r="C832" s="6" t="s">
        <v>9</v>
      </c>
      <c r="D832" s="6" t="s">
        <v>230</v>
      </c>
      <c r="E832" s="6" t="s">
        <v>11</v>
      </c>
      <c r="F832" s="6">
        <v>1</v>
      </c>
      <c r="G832" s="6">
        <v>540</v>
      </c>
    </row>
    <row r="833" s="2" customFormat="true" ht="22.5" customHeight="true" spans="1:7">
      <c r="A833" s="6">
        <f>831</f>
        <v>831</v>
      </c>
      <c r="B833" s="6" t="s">
        <v>867</v>
      </c>
      <c r="C833" s="6" t="s">
        <v>9</v>
      </c>
      <c r="D833" s="6" t="s">
        <v>280</v>
      </c>
      <c r="E833" s="6" t="s">
        <v>17</v>
      </c>
      <c r="F833" s="6">
        <v>2</v>
      </c>
      <c r="G833" s="6">
        <v>1109</v>
      </c>
    </row>
    <row r="834" s="2" customFormat="true" ht="22.5" customHeight="true" spans="1:7">
      <c r="A834" s="6">
        <f>832</f>
        <v>832</v>
      </c>
      <c r="B834" s="6" t="s">
        <v>868</v>
      </c>
      <c r="C834" s="6" t="s">
        <v>9</v>
      </c>
      <c r="D834" s="6" t="s">
        <v>146</v>
      </c>
      <c r="E834" s="6" t="s">
        <v>11</v>
      </c>
      <c r="F834" s="6">
        <v>4</v>
      </c>
      <c r="G834" s="6">
        <v>1935</v>
      </c>
    </row>
    <row r="835" s="2" customFormat="true" ht="22.5" customHeight="true" spans="1:7">
      <c r="A835" s="6">
        <f>833</f>
        <v>833</v>
      </c>
      <c r="B835" s="6" t="s">
        <v>869</v>
      </c>
      <c r="C835" s="6" t="s">
        <v>9</v>
      </c>
      <c r="D835" s="6" t="s">
        <v>131</v>
      </c>
      <c r="E835" s="6" t="s">
        <v>79</v>
      </c>
      <c r="F835" s="6">
        <v>1</v>
      </c>
      <c r="G835" s="6">
        <v>461</v>
      </c>
    </row>
    <row r="836" s="2" customFormat="true" ht="22.5" customHeight="true" spans="1:7">
      <c r="A836" s="6">
        <f>834</f>
        <v>834</v>
      </c>
      <c r="B836" s="6" t="s">
        <v>870</v>
      </c>
      <c r="C836" s="6" t="s">
        <v>9</v>
      </c>
      <c r="D836" s="6" t="s">
        <v>182</v>
      </c>
      <c r="E836" s="6" t="s">
        <v>17</v>
      </c>
      <c r="F836" s="6">
        <v>5</v>
      </c>
      <c r="G836" s="6">
        <v>3107</v>
      </c>
    </row>
    <row r="837" s="2" customFormat="true" ht="22.5" customHeight="true" spans="1:7">
      <c r="A837" s="6">
        <f>835</f>
        <v>835</v>
      </c>
      <c r="B837" s="6" t="s">
        <v>871</v>
      </c>
      <c r="C837" s="6" t="s">
        <v>9</v>
      </c>
      <c r="D837" s="6" t="s">
        <v>260</v>
      </c>
      <c r="E837" s="6" t="s">
        <v>17</v>
      </c>
      <c r="F837" s="6">
        <v>1</v>
      </c>
      <c r="G837" s="6">
        <v>514</v>
      </c>
    </row>
    <row r="838" s="2" customFormat="true" ht="22.5" customHeight="true" spans="1:7">
      <c r="A838" s="6">
        <f>836</f>
        <v>836</v>
      </c>
      <c r="B838" s="6" t="s">
        <v>872</v>
      </c>
      <c r="C838" s="6" t="s">
        <v>9</v>
      </c>
      <c r="D838" s="6" t="s">
        <v>13</v>
      </c>
      <c r="E838" s="6" t="s">
        <v>17</v>
      </c>
      <c r="F838" s="6">
        <v>1</v>
      </c>
      <c r="G838" s="6">
        <v>585</v>
      </c>
    </row>
    <row r="839" s="2" customFormat="true" ht="22.5" customHeight="true" spans="1:7">
      <c r="A839" s="6">
        <f>837</f>
        <v>837</v>
      </c>
      <c r="B839" s="6" t="s">
        <v>873</v>
      </c>
      <c r="C839" s="6" t="s">
        <v>15</v>
      </c>
      <c r="D839" s="6" t="s">
        <v>169</v>
      </c>
      <c r="E839" s="6" t="s">
        <v>17</v>
      </c>
      <c r="F839" s="6">
        <v>1</v>
      </c>
      <c r="G839" s="6">
        <v>653</v>
      </c>
    </row>
    <row r="840" s="2" customFormat="true" ht="22.5" customHeight="true" spans="1:7">
      <c r="A840" s="6">
        <f>838</f>
        <v>838</v>
      </c>
      <c r="B840" s="6" t="s">
        <v>340</v>
      </c>
      <c r="C840" s="6" t="s">
        <v>9</v>
      </c>
      <c r="D840" s="6" t="s">
        <v>10</v>
      </c>
      <c r="E840" s="6" t="s">
        <v>17</v>
      </c>
      <c r="F840" s="6">
        <v>3</v>
      </c>
      <c r="G840" s="6">
        <v>1784</v>
      </c>
    </row>
    <row r="841" s="2" customFormat="true" ht="22.5" customHeight="true" spans="1:7">
      <c r="A841" s="6">
        <f>839</f>
        <v>839</v>
      </c>
      <c r="B841" s="6" t="s">
        <v>874</v>
      </c>
      <c r="C841" s="6" t="s">
        <v>9</v>
      </c>
      <c r="D841" s="6" t="s">
        <v>13</v>
      </c>
      <c r="E841" s="6" t="s">
        <v>17</v>
      </c>
      <c r="F841" s="6">
        <v>4</v>
      </c>
      <c r="G841" s="6">
        <v>2191</v>
      </c>
    </row>
    <row r="842" s="2" customFormat="true" ht="22.5" customHeight="true" spans="1:7">
      <c r="A842" s="6">
        <f>840</f>
        <v>840</v>
      </c>
      <c r="B842" s="6" t="s">
        <v>875</v>
      </c>
      <c r="C842" s="6" t="s">
        <v>9</v>
      </c>
      <c r="D842" s="6" t="s">
        <v>202</v>
      </c>
      <c r="E842" s="6" t="s">
        <v>17</v>
      </c>
      <c r="F842" s="6">
        <v>1</v>
      </c>
      <c r="G842" s="6">
        <v>639</v>
      </c>
    </row>
    <row r="843" s="2" customFormat="true" ht="22.5" customHeight="true" spans="1:7">
      <c r="A843" s="6">
        <f>841</f>
        <v>841</v>
      </c>
      <c r="B843" s="6" t="s">
        <v>876</v>
      </c>
      <c r="C843" s="6" t="s">
        <v>9</v>
      </c>
      <c r="D843" s="6" t="s">
        <v>143</v>
      </c>
      <c r="E843" s="6" t="s">
        <v>17</v>
      </c>
      <c r="F843" s="6">
        <v>1</v>
      </c>
      <c r="G843" s="6">
        <v>601</v>
      </c>
    </row>
    <row r="844" s="2" customFormat="true" ht="22.5" customHeight="true" spans="1:7">
      <c r="A844" s="6">
        <f>842</f>
        <v>842</v>
      </c>
      <c r="B844" s="6" t="s">
        <v>877</v>
      </c>
      <c r="C844" s="6" t="s">
        <v>9</v>
      </c>
      <c r="D844" s="6" t="s">
        <v>161</v>
      </c>
      <c r="E844" s="6" t="s">
        <v>17</v>
      </c>
      <c r="F844" s="6">
        <v>2</v>
      </c>
      <c r="G844" s="6">
        <v>1304</v>
      </c>
    </row>
    <row r="845" s="2" customFormat="true" ht="22.5" customHeight="true" spans="1:7">
      <c r="A845" s="6">
        <f>843</f>
        <v>843</v>
      </c>
      <c r="B845" s="6" t="s">
        <v>878</v>
      </c>
      <c r="C845" s="6" t="s">
        <v>9</v>
      </c>
      <c r="D845" s="6" t="s">
        <v>270</v>
      </c>
      <c r="E845" s="6" t="s">
        <v>17</v>
      </c>
      <c r="F845" s="6">
        <v>4</v>
      </c>
      <c r="G845" s="6">
        <v>2237</v>
      </c>
    </row>
    <row r="846" s="2" customFormat="true" ht="22.5" customHeight="true" spans="1:7">
      <c r="A846" s="6">
        <f>844</f>
        <v>844</v>
      </c>
      <c r="B846" s="6" t="s">
        <v>879</v>
      </c>
      <c r="C846" s="6" t="s">
        <v>9</v>
      </c>
      <c r="D846" s="6" t="s">
        <v>133</v>
      </c>
      <c r="E846" s="6" t="s">
        <v>17</v>
      </c>
      <c r="F846" s="6">
        <v>4</v>
      </c>
      <c r="G846" s="6">
        <v>2249</v>
      </c>
    </row>
    <row r="847" s="2" customFormat="true" ht="22.5" customHeight="true" spans="1:7">
      <c r="A847" s="6">
        <f>845</f>
        <v>845</v>
      </c>
      <c r="B847" s="6" t="s">
        <v>880</v>
      </c>
      <c r="C847" s="6" t="s">
        <v>9</v>
      </c>
      <c r="D847" s="6" t="s">
        <v>16</v>
      </c>
      <c r="E847" s="6" t="s">
        <v>17</v>
      </c>
      <c r="F847" s="6">
        <v>1</v>
      </c>
      <c r="G847" s="6">
        <v>690</v>
      </c>
    </row>
    <row r="848" s="2" customFormat="true" ht="22.5" customHeight="true" spans="1:7">
      <c r="A848" s="6">
        <f>846</f>
        <v>846</v>
      </c>
      <c r="B848" s="6" t="s">
        <v>881</v>
      </c>
      <c r="C848" s="6" t="s">
        <v>9</v>
      </c>
      <c r="D848" s="6" t="s">
        <v>13</v>
      </c>
      <c r="E848" s="6" t="s">
        <v>17</v>
      </c>
      <c r="F848" s="6">
        <v>3</v>
      </c>
      <c r="G848" s="6">
        <v>1454</v>
      </c>
    </row>
    <row r="849" s="2" customFormat="true" ht="22.5" customHeight="true" spans="1:7">
      <c r="A849" s="6">
        <f>847</f>
        <v>847</v>
      </c>
      <c r="B849" s="6" t="s">
        <v>882</v>
      </c>
      <c r="C849" s="6" t="s">
        <v>9</v>
      </c>
      <c r="D849" s="6" t="s">
        <v>129</v>
      </c>
      <c r="E849" s="6" t="s">
        <v>11</v>
      </c>
      <c r="F849" s="6">
        <v>4</v>
      </c>
      <c r="G849" s="6">
        <v>2337</v>
      </c>
    </row>
    <row r="850" s="2" customFormat="true" ht="22.5" customHeight="true" spans="1:7">
      <c r="A850" s="6">
        <f>848</f>
        <v>848</v>
      </c>
      <c r="B850" s="6" t="s">
        <v>883</v>
      </c>
      <c r="C850" s="6" t="s">
        <v>9</v>
      </c>
      <c r="D850" s="6" t="s">
        <v>222</v>
      </c>
      <c r="E850" s="6" t="s">
        <v>17</v>
      </c>
      <c r="F850" s="6">
        <v>3</v>
      </c>
      <c r="G850" s="6">
        <v>1483</v>
      </c>
    </row>
    <row r="851" s="2" customFormat="true" ht="22.5" customHeight="true" spans="1:7">
      <c r="A851" s="6">
        <f>849</f>
        <v>849</v>
      </c>
      <c r="B851" s="6" t="s">
        <v>884</v>
      </c>
      <c r="C851" s="6" t="s">
        <v>9</v>
      </c>
      <c r="D851" s="6" t="s">
        <v>133</v>
      </c>
      <c r="E851" s="6" t="s">
        <v>17</v>
      </c>
      <c r="F851" s="6">
        <v>1</v>
      </c>
      <c r="G851" s="6">
        <v>729</v>
      </c>
    </row>
    <row r="852" s="2" customFormat="true" ht="22.5" customHeight="true" spans="1:7">
      <c r="A852" s="6">
        <f>850</f>
        <v>850</v>
      </c>
      <c r="B852" s="6" t="s">
        <v>885</v>
      </c>
      <c r="C852" s="6" t="s">
        <v>15</v>
      </c>
      <c r="D852" s="6" t="s">
        <v>129</v>
      </c>
      <c r="E852" s="6" t="s">
        <v>11</v>
      </c>
      <c r="F852" s="6">
        <v>1</v>
      </c>
      <c r="G852" s="6">
        <v>627</v>
      </c>
    </row>
    <row r="853" s="2" customFormat="true" ht="22.5" customHeight="true" spans="1:7">
      <c r="A853" s="6">
        <f>851</f>
        <v>851</v>
      </c>
      <c r="B853" s="6" t="s">
        <v>886</v>
      </c>
      <c r="C853" s="6" t="s">
        <v>9</v>
      </c>
      <c r="D853" s="6" t="s">
        <v>209</v>
      </c>
      <c r="E853" s="6" t="s">
        <v>17</v>
      </c>
      <c r="F853" s="6">
        <v>2</v>
      </c>
      <c r="G853" s="6">
        <v>1260</v>
      </c>
    </row>
    <row r="854" s="2" customFormat="true" ht="22.5" customHeight="true" spans="1:7">
      <c r="A854" s="6">
        <f>852</f>
        <v>852</v>
      </c>
      <c r="B854" s="6" t="s">
        <v>887</v>
      </c>
      <c r="C854" s="6" t="s">
        <v>9</v>
      </c>
      <c r="D854" s="6" t="s">
        <v>416</v>
      </c>
      <c r="E854" s="6" t="s">
        <v>17</v>
      </c>
      <c r="F854" s="6">
        <v>1</v>
      </c>
      <c r="G854" s="6">
        <v>661</v>
      </c>
    </row>
    <row r="855" s="2" customFormat="true" ht="22.5" customHeight="true" spans="1:7">
      <c r="A855" s="6">
        <f>853</f>
        <v>853</v>
      </c>
      <c r="B855" s="6" t="s">
        <v>888</v>
      </c>
      <c r="C855" s="6" t="s">
        <v>15</v>
      </c>
      <c r="D855" s="6" t="s">
        <v>182</v>
      </c>
      <c r="E855" s="6" t="s">
        <v>79</v>
      </c>
      <c r="F855" s="6">
        <v>1</v>
      </c>
      <c r="G855" s="6">
        <v>628</v>
      </c>
    </row>
    <row r="856" s="2" customFormat="true" ht="22.5" customHeight="true" spans="1:7">
      <c r="A856" s="6">
        <f>854</f>
        <v>854</v>
      </c>
      <c r="B856" s="6" t="s">
        <v>889</v>
      </c>
      <c r="C856" s="6" t="s">
        <v>9</v>
      </c>
      <c r="D856" s="6" t="s">
        <v>117</v>
      </c>
      <c r="E856" s="6" t="s">
        <v>17</v>
      </c>
      <c r="F856" s="6">
        <v>1</v>
      </c>
      <c r="G856" s="6">
        <v>748</v>
      </c>
    </row>
    <row r="857" s="2" customFormat="true" ht="22.5" customHeight="true" spans="1:7">
      <c r="A857" s="6">
        <f>855</f>
        <v>855</v>
      </c>
      <c r="B857" s="6" t="s">
        <v>890</v>
      </c>
      <c r="C857" s="6" t="s">
        <v>15</v>
      </c>
      <c r="D857" s="6" t="s">
        <v>143</v>
      </c>
      <c r="E857" s="6" t="s">
        <v>17</v>
      </c>
      <c r="F857" s="6">
        <v>1</v>
      </c>
      <c r="G857" s="6">
        <v>660</v>
      </c>
    </row>
    <row r="858" s="2" customFormat="true" ht="22.5" customHeight="true" spans="1:7">
      <c r="A858" s="6">
        <f>856</f>
        <v>856</v>
      </c>
      <c r="B858" s="6" t="s">
        <v>891</v>
      </c>
      <c r="C858" s="6" t="s">
        <v>9</v>
      </c>
      <c r="D858" s="6" t="s">
        <v>16</v>
      </c>
      <c r="E858" s="6" t="s">
        <v>17</v>
      </c>
      <c r="F858" s="6">
        <v>1</v>
      </c>
      <c r="G858" s="6">
        <v>627</v>
      </c>
    </row>
    <row r="859" s="2" customFormat="true" ht="22.5" customHeight="true" spans="1:7">
      <c r="A859" s="6">
        <f>857</f>
        <v>857</v>
      </c>
      <c r="B859" s="6" t="s">
        <v>892</v>
      </c>
      <c r="C859" s="6" t="s">
        <v>9</v>
      </c>
      <c r="D859" s="6" t="s">
        <v>169</v>
      </c>
      <c r="E859" s="6" t="s">
        <v>17</v>
      </c>
      <c r="F859" s="6">
        <v>1</v>
      </c>
      <c r="G859" s="6">
        <v>639</v>
      </c>
    </row>
    <row r="860" s="2" customFormat="true" ht="22.5" customHeight="true" spans="1:7">
      <c r="A860" s="6">
        <f>858</f>
        <v>858</v>
      </c>
      <c r="B860" s="6" t="s">
        <v>893</v>
      </c>
      <c r="C860" s="6" t="s">
        <v>9</v>
      </c>
      <c r="D860" s="6" t="s">
        <v>146</v>
      </c>
      <c r="E860" s="6" t="s">
        <v>17</v>
      </c>
      <c r="F860" s="6">
        <v>1</v>
      </c>
      <c r="G860" s="6">
        <v>627</v>
      </c>
    </row>
    <row r="861" s="2" customFormat="true" ht="22.5" customHeight="true" spans="1:7">
      <c r="A861" s="6">
        <f>859</f>
        <v>859</v>
      </c>
      <c r="B861" s="6" t="s">
        <v>894</v>
      </c>
      <c r="C861" s="6" t="s">
        <v>9</v>
      </c>
      <c r="D861" s="6" t="s">
        <v>124</v>
      </c>
      <c r="E861" s="6" t="s">
        <v>17</v>
      </c>
      <c r="F861" s="6">
        <v>2</v>
      </c>
      <c r="G861" s="6">
        <v>1240</v>
      </c>
    </row>
    <row r="862" s="2" customFormat="true" ht="22.5" customHeight="true" spans="1:7">
      <c r="A862" s="6">
        <f>860</f>
        <v>860</v>
      </c>
      <c r="B862" s="6" t="s">
        <v>895</v>
      </c>
      <c r="C862" s="6" t="s">
        <v>15</v>
      </c>
      <c r="D862" s="6" t="s">
        <v>260</v>
      </c>
      <c r="E862" s="6" t="s">
        <v>17</v>
      </c>
      <c r="F862" s="6">
        <v>2</v>
      </c>
      <c r="G862" s="6">
        <v>1027</v>
      </c>
    </row>
    <row r="863" s="2" customFormat="true" ht="22.5" customHeight="true" spans="1:7">
      <c r="A863" s="6">
        <f>861</f>
        <v>861</v>
      </c>
      <c r="B863" s="6" t="s">
        <v>896</v>
      </c>
      <c r="C863" s="6" t="s">
        <v>9</v>
      </c>
      <c r="D863" s="6" t="s">
        <v>222</v>
      </c>
      <c r="E863" s="6" t="s">
        <v>17</v>
      </c>
      <c r="F863" s="6">
        <v>2</v>
      </c>
      <c r="G863" s="6">
        <v>1095</v>
      </c>
    </row>
    <row r="864" s="2" customFormat="true" ht="22.5" customHeight="true" spans="1:7">
      <c r="A864" s="6">
        <f>862</f>
        <v>862</v>
      </c>
      <c r="B864" s="6" t="s">
        <v>897</v>
      </c>
      <c r="C864" s="6" t="s">
        <v>15</v>
      </c>
      <c r="D864" s="6" t="s">
        <v>138</v>
      </c>
      <c r="E864" s="6" t="s">
        <v>17</v>
      </c>
      <c r="F864" s="6">
        <v>1</v>
      </c>
      <c r="G864" s="6">
        <v>678</v>
      </c>
    </row>
    <row r="865" s="2" customFormat="true" ht="22.5" customHeight="true" spans="1:7">
      <c r="A865" s="6">
        <f>863</f>
        <v>863</v>
      </c>
      <c r="B865" s="6" t="s">
        <v>898</v>
      </c>
      <c r="C865" s="6" t="s">
        <v>9</v>
      </c>
      <c r="D865" s="6" t="s">
        <v>239</v>
      </c>
      <c r="E865" s="6" t="s">
        <v>17</v>
      </c>
      <c r="F865" s="6">
        <v>3</v>
      </c>
      <c r="G865" s="6">
        <v>1909</v>
      </c>
    </row>
    <row r="866" s="2" customFormat="true" ht="22.5" customHeight="true" spans="1:7">
      <c r="A866" s="6">
        <f>864</f>
        <v>864</v>
      </c>
      <c r="B866" s="6" t="s">
        <v>899</v>
      </c>
      <c r="C866" s="6" t="s">
        <v>9</v>
      </c>
      <c r="D866" s="6" t="s">
        <v>133</v>
      </c>
      <c r="E866" s="6" t="s">
        <v>17</v>
      </c>
      <c r="F866" s="6">
        <v>2</v>
      </c>
      <c r="G866" s="6">
        <v>1440</v>
      </c>
    </row>
    <row r="867" s="2" customFormat="true" ht="22.5" customHeight="true" spans="1:7">
      <c r="A867" s="6">
        <f>865</f>
        <v>865</v>
      </c>
      <c r="B867" s="6" t="s">
        <v>900</v>
      </c>
      <c r="C867" s="6" t="s">
        <v>9</v>
      </c>
      <c r="D867" s="6" t="s">
        <v>138</v>
      </c>
      <c r="E867" s="6" t="s">
        <v>17</v>
      </c>
      <c r="F867" s="6">
        <v>4</v>
      </c>
      <c r="G867" s="6">
        <v>2194</v>
      </c>
    </row>
    <row r="868" s="2" customFormat="true" ht="22.5" customHeight="true" spans="1:7">
      <c r="A868" s="6">
        <f>866</f>
        <v>866</v>
      </c>
      <c r="B868" s="6" t="s">
        <v>901</v>
      </c>
      <c r="C868" s="6" t="s">
        <v>15</v>
      </c>
      <c r="D868" s="6" t="s">
        <v>260</v>
      </c>
      <c r="E868" s="6" t="s">
        <v>17</v>
      </c>
      <c r="F868" s="6">
        <v>3</v>
      </c>
      <c r="G868" s="6">
        <v>1481</v>
      </c>
    </row>
    <row r="869" s="2" customFormat="true" ht="22.5" customHeight="true" spans="1:7">
      <c r="A869" s="6">
        <f>867</f>
        <v>867</v>
      </c>
      <c r="B869" s="6" t="s">
        <v>902</v>
      </c>
      <c r="C869" s="6" t="s">
        <v>9</v>
      </c>
      <c r="D869" s="6" t="s">
        <v>13</v>
      </c>
      <c r="E869" s="6" t="s">
        <v>17</v>
      </c>
      <c r="F869" s="6">
        <v>1</v>
      </c>
      <c r="G869" s="6">
        <v>706</v>
      </c>
    </row>
    <row r="870" s="2" customFormat="true" ht="22.5" customHeight="true" spans="1:7">
      <c r="A870" s="6">
        <f>868</f>
        <v>868</v>
      </c>
      <c r="B870" s="6" t="s">
        <v>903</v>
      </c>
      <c r="C870" s="6" t="s">
        <v>15</v>
      </c>
      <c r="D870" s="6" t="s">
        <v>164</v>
      </c>
      <c r="E870" s="6" t="s">
        <v>17</v>
      </c>
      <c r="F870" s="6">
        <v>2</v>
      </c>
      <c r="G870" s="6">
        <v>1165</v>
      </c>
    </row>
    <row r="871" s="2" customFormat="true" ht="22.5" customHeight="true" spans="1:7">
      <c r="A871" s="6">
        <f>869</f>
        <v>869</v>
      </c>
      <c r="B871" s="6" t="s">
        <v>904</v>
      </c>
      <c r="C871" s="6" t="s">
        <v>9</v>
      </c>
      <c r="D871" s="6" t="s">
        <v>270</v>
      </c>
      <c r="E871" s="6" t="s">
        <v>17</v>
      </c>
      <c r="F871" s="6">
        <v>1</v>
      </c>
      <c r="G871" s="6">
        <v>729</v>
      </c>
    </row>
    <row r="872" s="2" customFormat="true" ht="22.5" customHeight="true" spans="1:7">
      <c r="A872" s="6">
        <f>870</f>
        <v>870</v>
      </c>
      <c r="B872" s="6" t="s">
        <v>905</v>
      </c>
      <c r="C872" s="6" t="s">
        <v>9</v>
      </c>
      <c r="D872" s="6" t="s">
        <v>16</v>
      </c>
      <c r="E872" s="6" t="s">
        <v>17</v>
      </c>
      <c r="F872" s="6">
        <v>1</v>
      </c>
      <c r="G872" s="6">
        <v>729</v>
      </c>
    </row>
    <row r="873" s="2" customFormat="true" ht="22.5" customHeight="true" spans="1:7">
      <c r="A873" s="6">
        <f>871</f>
        <v>871</v>
      </c>
      <c r="B873" s="6" t="s">
        <v>906</v>
      </c>
      <c r="C873" s="6" t="s">
        <v>9</v>
      </c>
      <c r="D873" s="6" t="s">
        <v>131</v>
      </c>
      <c r="E873" s="6" t="s">
        <v>17</v>
      </c>
      <c r="F873" s="6">
        <v>1</v>
      </c>
      <c r="G873" s="6">
        <v>686</v>
      </c>
    </row>
    <row r="874" s="2" customFormat="true" ht="22.5" customHeight="true" spans="1:7">
      <c r="A874" s="6">
        <f>872</f>
        <v>872</v>
      </c>
      <c r="B874" s="6" t="s">
        <v>907</v>
      </c>
      <c r="C874" s="6" t="s">
        <v>9</v>
      </c>
      <c r="D874" s="6" t="s">
        <v>230</v>
      </c>
      <c r="E874" s="6" t="s">
        <v>17</v>
      </c>
      <c r="F874" s="6">
        <v>1</v>
      </c>
      <c r="G874" s="6">
        <v>639</v>
      </c>
    </row>
    <row r="875" s="2" customFormat="true" ht="22.5" customHeight="true" spans="1:7">
      <c r="A875" s="6">
        <f>873</f>
        <v>873</v>
      </c>
      <c r="B875" s="6" t="s">
        <v>908</v>
      </c>
      <c r="C875" s="6" t="s">
        <v>9</v>
      </c>
      <c r="D875" s="6" t="s">
        <v>117</v>
      </c>
      <c r="E875" s="6" t="s">
        <v>17</v>
      </c>
      <c r="F875" s="6">
        <v>2</v>
      </c>
      <c r="G875" s="6">
        <v>1230</v>
      </c>
    </row>
    <row r="876" s="2" customFormat="true" ht="22.5" customHeight="true" spans="1:7">
      <c r="A876" s="6">
        <f>874</f>
        <v>874</v>
      </c>
      <c r="B876" s="6" t="s">
        <v>909</v>
      </c>
      <c r="C876" s="6" t="s">
        <v>9</v>
      </c>
      <c r="D876" s="6" t="s">
        <v>131</v>
      </c>
      <c r="E876" s="6" t="s">
        <v>17</v>
      </c>
      <c r="F876" s="6">
        <v>3</v>
      </c>
      <c r="G876" s="6">
        <v>1713</v>
      </c>
    </row>
    <row r="877" s="2" customFormat="true" ht="22.5" customHeight="true" spans="1:7">
      <c r="A877" s="6">
        <f>875</f>
        <v>875</v>
      </c>
      <c r="B877" s="6" t="s">
        <v>910</v>
      </c>
      <c r="C877" s="6" t="s">
        <v>9</v>
      </c>
      <c r="D877" s="6" t="s">
        <v>122</v>
      </c>
      <c r="E877" s="6" t="s">
        <v>11</v>
      </c>
      <c r="F877" s="6">
        <v>2</v>
      </c>
      <c r="G877" s="6">
        <v>1007</v>
      </c>
    </row>
    <row r="878" s="2" customFormat="true" ht="22.5" customHeight="true" spans="1:7">
      <c r="A878" s="6">
        <f>876</f>
        <v>876</v>
      </c>
      <c r="B878" s="6" t="s">
        <v>911</v>
      </c>
      <c r="C878" s="6" t="s">
        <v>9</v>
      </c>
      <c r="D878" s="6" t="s">
        <v>129</v>
      </c>
      <c r="E878" s="6" t="s">
        <v>11</v>
      </c>
      <c r="F878" s="6">
        <v>2</v>
      </c>
      <c r="G878" s="6">
        <v>1155</v>
      </c>
    </row>
    <row r="879" s="2" customFormat="true" ht="22.5" customHeight="true" spans="1:7">
      <c r="A879" s="6">
        <f>877</f>
        <v>877</v>
      </c>
      <c r="B879" s="6" t="s">
        <v>912</v>
      </c>
      <c r="C879" s="6" t="s">
        <v>15</v>
      </c>
      <c r="D879" s="6" t="s">
        <v>143</v>
      </c>
      <c r="E879" s="6" t="s">
        <v>17</v>
      </c>
      <c r="F879" s="6">
        <v>1</v>
      </c>
      <c r="G879" s="6">
        <v>663</v>
      </c>
    </row>
    <row r="880" s="2" customFormat="true" ht="22.5" customHeight="true" spans="1:7">
      <c r="A880" s="6">
        <f>878</f>
        <v>878</v>
      </c>
      <c r="B880" s="6" t="s">
        <v>913</v>
      </c>
      <c r="C880" s="6" t="s">
        <v>9</v>
      </c>
      <c r="D880" s="6" t="s">
        <v>416</v>
      </c>
      <c r="E880" s="6" t="s">
        <v>17</v>
      </c>
      <c r="F880" s="6">
        <v>1</v>
      </c>
      <c r="G880" s="6">
        <v>890</v>
      </c>
    </row>
    <row r="881" s="2" customFormat="true" ht="22.5" customHeight="true" spans="1:7">
      <c r="A881" s="6">
        <f>879</f>
        <v>879</v>
      </c>
      <c r="B881" s="6" t="s">
        <v>914</v>
      </c>
      <c r="C881" s="6" t="s">
        <v>9</v>
      </c>
      <c r="D881" s="6" t="s">
        <v>270</v>
      </c>
      <c r="E881" s="6" t="s">
        <v>17</v>
      </c>
      <c r="F881" s="6">
        <v>5</v>
      </c>
      <c r="G881" s="6">
        <v>2522</v>
      </c>
    </row>
    <row r="882" s="2" customFormat="true" ht="22.5" customHeight="true" spans="1:7">
      <c r="A882" s="6">
        <f>880</f>
        <v>880</v>
      </c>
      <c r="B882" s="6" t="s">
        <v>915</v>
      </c>
      <c r="C882" s="6" t="s">
        <v>9</v>
      </c>
      <c r="D882" s="6" t="s">
        <v>192</v>
      </c>
      <c r="E882" s="6" t="s">
        <v>17</v>
      </c>
      <c r="F882" s="6">
        <v>4</v>
      </c>
      <c r="G882" s="6">
        <v>2196</v>
      </c>
    </row>
    <row r="883" s="2" customFormat="true" ht="22.5" customHeight="true" spans="1:7">
      <c r="A883" s="6">
        <f>881</f>
        <v>881</v>
      </c>
      <c r="B883" s="6" t="s">
        <v>916</v>
      </c>
      <c r="C883" s="6" t="s">
        <v>9</v>
      </c>
      <c r="D883" s="6" t="s">
        <v>222</v>
      </c>
      <c r="E883" s="6" t="s">
        <v>17</v>
      </c>
      <c r="F883" s="6">
        <v>1</v>
      </c>
      <c r="G883" s="6">
        <v>644</v>
      </c>
    </row>
    <row r="884" s="2" customFormat="true" ht="22.5" customHeight="true" spans="1:7">
      <c r="A884" s="6">
        <f>882</f>
        <v>882</v>
      </c>
      <c r="B884" s="6" t="s">
        <v>917</v>
      </c>
      <c r="C884" s="6" t="s">
        <v>15</v>
      </c>
      <c r="D884" s="6" t="s">
        <v>260</v>
      </c>
      <c r="E884" s="6" t="s">
        <v>17</v>
      </c>
      <c r="F884" s="6">
        <v>2</v>
      </c>
      <c r="G884" s="6">
        <v>1296</v>
      </c>
    </row>
    <row r="885" s="2" customFormat="true" ht="22.5" customHeight="true" spans="1:7">
      <c r="A885" s="6">
        <f>883</f>
        <v>883</v>
      </c>
      <c r="B885" s="6" t="s">
        <v>918</v>
      </c>
      <c r="C885" s="6" t="s">
        <v>9</v>
      </c>
      <c r="D885" s="6" t="s">
        <v>143</v>
      </c>
      <c r="E885" s="6" t="s">
        <v>17</v>
      </c>
      <c r="F885" s="6">
        <v>1</v>
      </c>
      <c r="G885" s="6">
        <v>632</v>
      </c>
    </row>
    <row r="886" s="2" customFormat="true" ht="22.5" customHeight="true" spans="1:7">
      <c r="A886" s="6">
        <f>884</f>
        <v>884</v>
      </c>
      <c r="B886" s="6" t="s">
        <v>919</v>
      </c>
      <c r="C886" s="6" t="s">
        <v>9</v>
      </c>
      <c r="D886" s="6" t="s">
        <v>13</v>
      </c>
      <c r="E886" s="6" t="s">
        <v>17</v>
      </c>
      <c r="F886" s="6">
        <v>2</v>
      </c>
      <c r="G886" s="6">
        <v>1252</v>
      </c>
    </row>
    <row r="887" s="2" customFormat="true" ht="22.5" customHeight="true" spans="1:7">
      <c r="A887" s="6">
        <f>885</f>
        <v>885</v>
      </c>
      <c r="B887" s="6" t="s">
        <v>920</v>
      </c>
      <c r="C887" s="6" t="s">
        <v>9</v>
      </c>
      <c r="D887" s="6" t="s">
        <v>260</v>
      </c>
      <c r="E887" s="6" t="s">
        <v>17</v>
      </c>
      <c r="F887" s="6">
        <v>4</v>
      </c>
      <c r="G887" s="6">
        <v>2230</v>
      </c>
    </row>
    <row r="888" s="2" customFormat="true" ht="22.5" customHeight="true" spans="1:7">
      <c r="A888" s="6">
        <f>886</f>
        <v>886</v>
      </c>
      <c r="B888" s="6" t="s">
        <v>921</v>
      </c>
      <c r="C888" s="6" t="s">
        <v>9</v>
      </c>
      <c r="D888" s="6" t="s">
        <v>185</v>
      </c>
      <c r="E888" s="6" t="s">
        <v>17</v>
      </c>
      <c r="F888" s="6">
        <v>2</v>
      </c>
      <c r="G888" s="6">
        <v>1458</v>
      </c>
    </row>
    <row r="889" s="2" customFormat="true" ht="22.5" customHeight="true" spans="1:7">
      <c r="A889" s="6">
        <f>887</f>
        <v>887</v>
      </c>
      <c r="B889" s="6" t="s">
        <v>922</v>
      </c>
      <c r="C889" s="6" t="s">
        <v>15</v>
      </c>
      <c r="D889" s="6" t="s">
        <v>149</v>
      </c>
      <c r="E889" s="6" t="s">
        <v>17</v>
      </c>
      <c r="F889" s="6">
        <v>1</v>
      </c>
      <c r="G889" s="6">
        <v>657</v>
      </c>
    </row>
    <row r="890" s="2" customFormat="true" ht="22.5" customHeight="true" spans="1:7">
      <c r="A890" s="6">
        <f>888</f>
        <v>888</v>
      </c>
      <c r="B890" s="6" t="s">
        <v>923</v>
      </c>
      <c r="C890" s="6" t="s">
        <v>9</v>
      </c>
      <c r="D890" s="6" t="s">
        <v>104</v>
      </c>
      <c r="E890" s="6" t="s">
        <v>17</v>
      </c>
      <c r="F890" s="6">
        <v>2</v>
      </c>
      <c r="G890" s="6">
        <v>1068</v>
      </c>
    </row>
    <row r="891" s="2" customFormat="true" ht="22.5" customHeight="true" spans="1:7">
      <c r="A891" s="6">
        <f>889</f>
        <v>889</v>
      </c>
      <c r="B891" s="6" t="s">
        <v>924</v>
      </c>
      <c r="C891" s="6" t="s">
        <v>9</v>
      </c>
      <c r="D891" s="6" t="s">
        <v>16</v>
      </c>
      <c r="E891" s="6" t="s">
        <v>17</v>
      </c>
      <c r="F891" s="6">
        <v>2</v>
      </c>
      <c r="G891" s="6">
        <v>1079</v>
      </c>
    </row>
    <row r="892" s="2" customFormat="true" ht="22.5" customHeight="true" spans="1:7">
      <c r="A892" s="6">
        <f>890</f>
        <v>890</v>
      </c>
      <c r="B892" s="6" t="s">
        <v>925</v>
      </c>
      <c r="C892" s="6" t="s">
        <v>9</v>
      </c>
      <c r="D892" s="6" t="s">
        <v>136</v>
      </c>
      <c r="E892" s="6" t="s">
        <v>11</v>
      </c>
      <c r="F892" s="6">
        <v>1</v>
      </c>
      <c r="G892" s="6">
        <v>628</v>
      </c>
    </row>
    <row r="893" s="2" customFormat="true" ht="22.5" customHeight="true" spans="1:7">
      <c r="A893" s="6">
        <f>891</f>
        <v>891</v>
      </c>
      <c r="B893" s="6" t="s">
        <v>926</v>
      </c>
      <c r="C893" s="6" t="s">
        <v>9</v>
      </c>
      <c r="D893" s="6" t="s">
        <v>146</v>
      </c>
      <c r="E893" s="6" t="s">
        <v>17</v>
      </c>
      <c r="F893" s="6">
        <v>2</v>
      </c>
      <c r="G893" s="6">
        <v>1105</v>
      </c>
    </row>
    <row r="894" s="2" customFormat="true" ht="22.5" customHeight="true" spans="1:7">
      <c r="A894" s="6">
        <f>892</f>
        <v>892</v>
      </c>
      <c r="B894" s="6" t="s">
        <v>927</v>
      </c>
      <c r="C894" s="6" t="s">
        <v>9</v>
      </c>
      <c r="D894" s="6" t="s">
        <v>122</v>
      </c>
      <c r="E894" s="6" t="s">
        <v>17</v>
      </c>
      <c r="F894" s="6">
        <v>3</v>
      </c>
      <c r="G894" s="6">
        <v>1728</v>
      </c>
    </row>
    <row r="895" s="2" customFormat="true" ht="22.5" customHeight="true" spans="1:7">
      <c r="A895" s="6">
        <f>893</f>
        <v>893</v>
      </c>
      <c r="B895" s="6" t="s">
        <v>928</v>
      </c>
      <c r="C895" s="6" t="s">
        <v>9</v>
      </c>
      <c r="D895" s="6" t="s">
        <v>122</v>
      </c>
      <c r="E895" s="6" t="s">
        <v>79</v>
      </c>
      <c r="F895" s="6">
        <v>1</v>
      </c>
      <c r="G895" s="6">
        <v>500</v>
      </c>
    </row>
    <row r="896" s="2" customFormat="true" ht="22.5" customHeight="true" spans="1:7">
      <c r="A896" s="6">
        <f>894</f>
        <v>894</v>
      </c>
      <c r="B896" s="6" t="s">
        <v>929</v>
      </c>
      <c r="C896" s="6" t="s">
        <v>9</v>
      </c>
      <c r="D896" s="6" t="s">
        <v>149</v>
      </c>
      <c r="E896" s="6" t="s">
        <v>11</v>
      </c>
      <c r="F896" s="6">
        <v>2</v>
      </c>
      <c r="G896" s="6">
        <v>1212</v>
      </c>
    </row>
    <row r="897" s="2" customFormat="true" ht="22.5" customHeight="true" spans="1:7">
      <c r="A897" s="6">
        <f>895</f>
        <v>895</v>
      </c>
      <c r="B897" s="6" t="s">
        <v>930</v>
      </c>
      <c r="C897" s="6" t="s">
        <v>9</v>
      </c>
      <c r="D897" s="6" t="s">
        <v>202</v>
      </c>
      <c r="E897" s="6" t="s">
        <v>17</v>
      </c>
      <c r="F897" s="6">
        <v>1</v>
      </c>
      <c r="G897" s="6">
        <v>642</v>
      </c>
    </row>
    <row r="898" s="2" customFormat="true" ht="22.5" customHeight="true" spans="1:7">
      <c r="A898" s="6">
        <f>896</f>
        <v>896</v>
      </c>
      <c r="B898" s="6" t="s">
        <v>931</v>
      </c>
      <c r="C898" s="6" t="s">
        <v>9</v>
      </c>
      <c r="D898" s="6" t="s">
        <v>136</v>
      </c>
      <c r="E898" s="6" t="s">
        <v>17</v>
      </c>
      <c r="F898" s="6">
        <v>1</v>
      </c>
      <c r="G898" s="6">
        <v>729</v>
      </c>
    </row>
    <row r="899" s="2" customFormat="true" ht="22.5" customHeight="true" spans="1:7">
      <c r="A899" s="6">
        <f>897</f>
        <v>897</v>
      </c>
      <c r="B899" s="6" t="s">
        <v>932</v>
      </c>
      <c r="C899" s="6" t="s">
        <v>9</v>
      </c>
      <c r="D899" s="6" t="s">
        <v>16</v>
      </c>
      <c r="E899" s="6" t="s">
        <v>17</v>
      </c>
      <c r="F899" s="6">
        <v>1</v>
      </c>
      <c r="G899" s="6">
        <v>637</v>
      </c>
    </row>
    <row r="900" s="2" customFormat="true" ht="22.5" customHeight="true" spans="1:7">
      <c r="A900" s="6">
        <f>898</f>
        <v>898</v>
      </c>
      <c r="B900" s="6" t="s">
        <v>893</v>
      </c>
      <c r="C900" s="6" t="s">
        <v>9</v>
      </c>
      <c r="D900" s="6" t="s">
        <v>133</v>
      </c>
      <c r="E900" s="6" t="s">
        <v>17</v>
      </c>
      <c r="F900" s="6">
        <v>1</v>
      </c>
      <c r="G900" s="6">
        <v>624</v>
      </c>
    </row>
    <row r="901" s="2" customFormat="true" ht="22.5" customHeight="true" spans="1:7">
      <c r="A901" s="6">
        <f>899</f>
        <v>899</v>
      </c>
      <c r="B901" s="6" t="s">
        <v>933</v>
      </c>
      <c r="C901" s="6" t="s">
        <v>9</v>
      </c>
      <c r="D901" s="6" t="s">
        <v>131</v>
      </c>
      <c r="E901" s="6" t="s">
        <v>17</v>
      </c>
      <c r="F901" s="6">
        <v>1</v>
      </c>
      <c r="G901" s="6">
        <v>639</v>
      </c>
    </row>
    <row r="902" s="2" customFormat="true" ht="22.5" customHeight="true" spans="1:7">
      <c r="A902" s="6">
        <f>900</f>
        <v>900</v>
      </c>
      <c r="B902" s="6" t="s">
        <v>934</v>
      </c>
      <c r="C902" s="6" t="s">
        <v>9</v>
      </c>
      <c r="D902" s="6" t="s">
        <v>104</v>
      </c>
      <c r="E902" s="6" t="s">
        <v>17</v>
      </c>
      <c r="F902" s="6">
        <v>3</v>
      </c>
      <c r="G902" s="6">
        <v>1700</v>
      </c>
    </row>
    <row r="903" s="2" customFormat="true" ht="22.5" customHeight="true" spans="1:7">
      <c r="A903" s="6">
        <f>901</f>
        <v>901</v>
      </c>
      <c r="B903" s="6" t="s">
        <v>935</v>
      </c>
      <c r="C903" s="6" t="s">
        <v>9</v>
      </c>
      <c r="D903" s="6" t="s">
        <v>49</v>
      </c>
      <c r="E903" s="6" t="s">
        <v>17</v>
      </c>
      <c r="F903" s="6">
        <v>1</v>
      </c>
      <c r="G903" s="6">
        <v>657</v>
      </c>
    </row>
    <row r="904" s="2" customFormat="true" ht="22.5" customHeight="true" spans="1:7">
      <c r="A904" s="6">
        <f>902</f>
        <v>902</v>
      </c>
      <c r="B904" s="6" t="s">
        <v>936</v>
      </c>
      <c r="C904" s="6" t="s">
        <v>9</v>
      </c>
      <c r="D904" s="6" t="s">
        <v>131</v>
      </c>
      <c r="E904" s="6" t="s">
        <v>17</v>
      </c>
      <c r="F904" s="6">
        <v>4</v>
      </c>
      <c r="G904" s="6">
        <v>2077</v>
      </c>
    </row>
    <row r="905" s="2" customFormat="true" ht="22.5" customHeight="true" spans="1:7">
      <c r="A905" s="6">
        <f>903</f>
        <v>903</v>
      </c>
      <c r="B905" s="6" t="s">
        <v>937</v>
      </c>
      <c r="C905" s="6" t="s">
        <v>9</v>
      </c>
      <c r="D905" s="6" t="s">
        <v>202</v>
      </c>
      <c r="E905" s="6" t="s">
        <v>17</v>
      </c>
      <c r="F905" s="6">
        <v>2</v>
      </c>
      <c r="G905" s="6">
        <v>1180</v>
      </c>
    </row>
    <row r="906" s="2" customFormat="true" ht="22.5" customHeight="true" spans="1:7">
      <c r="A906" s="6">
        <f>904</f>
        <v>904</v>
      </c>
      <c r="B906" s="6" t="s">
        <v>938</v>
      </c>
      <c r="C906" s="6" t="s">
        <v>9</v>
      </c>
      <c r="D906" s="6" t="s">
        <v>136</v>
      </c>
      <c r="E906" s="6" t="s">
        <v>17</v>
      </c>
      <c r="F906" s="6">
        <v>1</v>
      </c>
      <c r="G906" s="6">
        <v>632</v>
      </c>
    </row>
    <row r="907" s="2" customFormat="true" ht="22.5" customHeight="true" spans="1:7">
      <c r="A907" s="6">
        <f>905</f>
        <v>905</v>
      </c>
      <c r="B907" s="6" t="s">
        <v>939</v>
      </c>
      <c r="C907" s="6" t="s">
        <v>9</v>
      </c>
      <c r="D907" s="6" t="s">
        <v>146</v>
      </c>
      <c r="E907" s="6" t="s">
        <v>17</v>
      </c>
      <c r="F907" s="6">
        <v>1</v>
      </c>
      <c r="G907" s="6">
        <v>644</v>
      </c>
    </row>
    <row r="908" s="2" customFormat="true" ht="22.5" customHeight="true" spans="1:7">
      <c r="A908" s="6">
        <f>906</f>
        <v>906</v>
      </c>
      <c r="B908" s="6" t="s">
        <v>940</v>
      </c>
      <c r="C908" s="6" t="s">
        <v>9</v>
      </c>
      <c r="D908" s="6" t="s">
        <v>13</v>
      </c>
      <c r="E908" s="6" t="s">
        <v>17</v>
      </c>
      <c r="F908" s="6">
        <v>1</v>
      </c>
      <c r="G908" s="6">
        <v>642</v>
      </c>
    </row>
    <row r="909" s="2" customFormat="true" ht="22.5" customHeight="true" spans="1:7">
      <c r="A909" s="6">
        <f>907</f>
        <v>907</v>
      </c>
      <c r="B909" s="6" t="s">
        <v>941</v>
      </c>
      <c r="C909" s="6" t="s">
        <v>9</v>
      </c>
      <c r="D909" s="6" t="s">
        <v>122</v>
      </c>
      <c r="E909" s="6" t="s">
        <v>79</v>
      </c>
      <c r="F909" s="6">
        <v>1</v>
      </c>
      <c r="G909" s="6">
        <v>404</v>
      </c>
    </row>
    <row r="910" s="2" customFormat="true" ht="22.5" customHeight="true" spans="1:7">
      <c r="A910" s="6">
        <f>908</f>
        <v>908</v>
      </c>
      <c r="B910" s="6" t="s">
        <v>942</v>
      </c>
      <c r="C910" s="6" t="s">
        <v>9</v>
      </c>
      <c r="D910" s="6" t="s">
        <v>149</v>
      </c>
      <c r="E910" s="6" t="s">
        <v>17</v>
      </c>
      <c r="F910" s="6">
        <v>3</v>
      </c>
      <c r="G910" s="6">
        <v>1632</v>
      </c>
    </row>
    <row r="911" s="2" customFormat="true" ht="22.5" customHeight="true" spans="1:7">
      <c r="A911" s="6">
        <f>909</f>
        <v>909</v>
      </c>
      <c r="B911" s="6" t="s">
        <v>943</v>
      </c>
      <c r="C911" s="6" t="s">
        <v>15</v>
      </c>
      <c r="D911" s="6" t="s">
        <v>161</v>
      </c>
      <c r="E911" s="6" t="s">
        <v>17</v>
      </c>
      <c r="F911" s="6">
        <v>1</v>
      </c>
      <c r="G911" s="6">
        <v>657</v>
      </c>
    </row>
    <row r="912" s="2" customFormat="true" ht="22.5" customHeight="true" spans="1:7">
      <c r="A912" s="6">
        <f>910</f>
        <v>910</v>
      </c>
      <c r="B912" s="6" t="s">
        <v>944</v>
      </c>
      <c r="C912" s="6" t="s">
        <v>15</v>
      </c>
      <c r="D912" s="6" t="s">
        <v>13</v>
      </c>
      <c r="E912" s="6" t="s">
        <v>17</v>
      </c>
      <c r="F912" s="6">
        <v>1</v>
      </c>
      <c r="G912" s="6">
        <v>718</v>
      </c>
    </row>
    <row r="913" s="2" customFormat="true" ht="22.5" customHeight="true" spans="1:7">
      <c r="A913" s="6">
        <f>911</f>
        <v>911</v>
      </c>
      <c r="B913" s="6" t="s">
        <v>945</v>
      </c>
      <c r="C913" s="6" t="s">
        <v>9</v>
      </c>
      <c r="D913" s="6" t="s">
        <v>117</v>
      </c>
      <c r="E913" s="6" t="s">
        <v>17</v>
      </c>
      <c r="F913" s="6">
        <v>1</v>
      </c>
      <c r="G913" s="6">
        <v>748</v>
      </c>
    </row>
    <row r="914" s="2" customFormat="true" ht="22.5" customHeight="true" spans="1:7">
      <c r="A914" s="6">
        <f>912</f>
        <v>912</v>
      </c>
      <c r="B914" s="6" t="s">
        <v>946</v>
      </c>
      <c r="C914" s="6" t="s">
        <v>15</v>
      </c>
      <c r="D914" s="6" t="s">
        <v>136</v>
      </c>
      <c r="E914" s="6" t="s">
        <v>17</v>
      </c>
      <c r="F914" s="6">
        <v>1</v>
      </c>
      <c r="G914" s="6">
        <v>729</v>
      </c>
    </row>
    <row r="915" s="2" customFormat="true" ht="22.5" customHeight="true" spans="1:7">
      <c r="A915" s="6">
        <f>913</f>
        <v>913</v>
      </c>
      <c r="B915" s="6" t="s">
        <v>947</v>
      </c>
      <c r="C915" s="6" t="s">
        <v>15</v>
      </c>
      <c r="D915" s="6" t="s">
        <v>124</v>
      </c>
      <c r="E915" s="6" t="s">
        <v>17</v>
      </c>
      <c r="F915" s="6">
        <v>1</v>
      </c>
      <c r="G915" s="6">
        <v>708</v>
      </c>
    </row>
    <row r="916" s="2" customFormat="true" ht="22.5" customHeight="true" spans="1:7">
      <c r="A916" s="6">
        <f>914</f>
        <v>914</v>
      </c>
      <c r="B916" s="6" t="s">
        <v>948</v>
      </c>
      <c r="C916" s="6" t="s">
        <v>15</v>
      </c>
      <c r="D916" s="6" t="s">
        <v>13</v>
      </c>
      <c r="E916" s="6" t="s">
        <v>17</v>
      </c>
      <c r="F916" s="6">
        <v>1</v>
      </c>
      <c r="G916" s="6">
        <v>644</v>
      </c>
    </row>
    <row r="917" s="2" customFormat="true" ht="22.5" customHeight="true" spans="1:7">
      <c r="A917" s="6">
        <f>915</f>
        <v>915</v>
      </c>
      <c r="B917" s="6" t="s">
        <v>949</v>
      </c>
      <c r="C917" s="6" t="s">
        <v>9</v>
      </c>
      <c r="D917" s="6" t="s">
        <v>416</v>
      </c>
      <c r="E917" s="6" t="s">
        <v>17</v>
      </c>
      <c r="F917" s="6">
        <v>2</v>
      </c>
      <c r="G917" s="6">
        <v>1230</v>
      </c>
    </row>
    <row r="918" s="2" customFormat="true" ht="22.5" customHeight="true" spans="1:7">
      <c r="A918" s="6">
        <f>916</f>
        <v>916</v>
      </c>
      <c r="B918" s="6" t="s">
        <v>950</v>
      </c>
      <c r="C918" s="6" t="s">
        <v>9</v>
      </c>
      <c r="D918" s="6" t="s">
        <v>159</v>
      </c>
      <c r="E918" s="6" t="s">
        <v>79</v>
      </c>
      <c r="F918" s="6">
        <v>1</v>
      </c>
      <c r="G918" s="6">
        <v>401</v>
      </c>
    </row>
    <row r="919" s="2" customFormat="true" ht="22.5" customHeight="true" spans="1:7">
      <c r="A919" s="6">
        <f>917</f>
        <v>917</v>
      </c>
      <c r="B919" s="6" t="s">
        <v>951</v>
      </c>
      <c r="C919" s="6" t="s">
        <v>9</v>
      </c>
      <c r="D919" s="6" t="s">
        <v>117</v>
      </c>
      <c r="E919" s="6" t="s">
        <v>17</v>
      </c>
      <c r="F919" s="6">
        <v>1</v>
      </c>
      <c r="G919" s="6">
        <v>644</v>
      </c>
    </row>
    <row r="920" s="2" customFormat="true" ht="22.5" customHeight="true" spans="1:7">
      <c r="A920" s="6">
        <f>918</f>
        <v>918</v>
      </c>
      <c r="B920" s="6" t="s">
        <v>952</v>
      </c>
      <c r="C920" s="6" t="s">
        <v>9</v>
      </c>
      <c r="D920" s="6" t="s">
        <v>133</v>
      </c>
      <c r="E920" s="6" t="s">
        <v>17</v>
      </c>
      <c r="F920" s="6">
        <v>2</v>
      </c>
      <c r="G920" s="6">
        <v>1260</v>
      </c>
    </row>
    <row r="921" s="2" customFormat="true" ht="22.5" customHeight="true" spans="1:7">
      <c r="A921" s="6">
        <f>919</f>
        <v>919</v>
      </c>
      <c r="B921" s="6" t="s">
        <v>953</v>
      </c>
      <c r="C921" s="6" t="s">
        <v>9</v>
      </c>
      <c r="D921" s="6" t="s">
        <v>138</v>
      </c>
      <c r="E921" s="6" t="s">
        <v>17</v>
      </c>
      <c r="F921" s="6">
        <v>1</v>
      </c>
      <c r="G921" s="6">
        <v>748</v>
      </c>
    </row>
    <row r="922" s="2" customFormat="true" ht="22.5" customHeight="true" spans="1:7">
      <c r="A922" s="6">
        <f>920</f>
        <v>920</v>
      </c>
      <c r="B922" s="6" t="s">
        <v>954</v>
      </c>
      <c r="C922" s="6" t="s">
        <v>9</v>
      </c>
      <c r="D922" s="6" t="s">
        <v>182</v>
      </c>
      <c r="E922" s="6" t="s">
        <v>17</v>
      </c>
      <c r="F922" s="6">
        <v>4</v>
      </c>
      <c r="G922" s="6">
        <v>2297</v>
      </c>
    </row>
    <row r="923" s="2" customFormat="true" ht="22.5" customHeight="true" spans="1:7">
      <c r="A923" s="6">
        <f>921</f>
        <v>921</v>
      </c>
      <c r="B923" s="6" t="s">
        <v>955</v>
      </c>
      <c r="C923" s="6" t="s">
        <v>15</v>
      </c>
      <c r="D923" s="6" t="s">
        <v>260</v>
      </c>
      <c r="E923" s="6" t="s">
        <v>17</v>
      </c>
      <c r="F923" s="6">
        <v>1</v>
      </c>
      <c r="G923" s="6">
        <v>740</v>
      </c>
    </row>
    <row r="924" s="2" customFormat="true" ht="22.5" customHeight="true" spans="1:7">
      <c r="A924" s="6">
        <f>922</f>
        <v>922</v>
      </c>
      <c r="B924" s="6" t="s">
        <v>718</v>
      </c>
      <c r="C924" s="6" t="s">
        <v>9</v>
      </c>
      <c r="D924" s="6" t="s">
        <v>117</v>
      </c>
      <c r="E924" s="6" t="s">
        <v>17</v>
      </c>
      <c r="F924" s="6">
        <v>1</v>
      </c>
      <c r="G924" s="6">
        <v>664</v>
      </c>
    </row>
    <row r="925" s="2" customFormat="true" ht="22.5" customHeight="true" spans="1:7">
      <c r="A925" s="6">
        <f>923</f>
        <v>923</v>
      </c>
      <c r="B925" s="6" t="s">
        <v>956</v>
      </c>
      <c r="C925" s="6" t="s">
        <v>9</v>
      </c>
      <c r="D925" s="6" t="s">
        <v>146</v>
      </c>
      <c r="E925" s="6" t="s">
        <v>17</v>
      </c>
      <c r="F925" s="6">
        <v>1</v>
      </c>
      <c r="G925" s="6">
        <v>587</v>
      </c>
    </row>
    <row r="926" s="2" customFormat="true" ht="22.5" customHeight="true" spans="1:7">
      <c r="A926" s="6">
        <f>924</f>
        <v>924</v>
      </c>
      <c r="B926" s="6" t="s">
        <v>957</v>
      </c>
      <c r="C926" s="6" t="s">
        <v>15</v>
      </c>
      <c r="D926" s="6" t="s">
        <v>67</v>
      </c>
      <c r="E926" s="6" t="s">
        <v>17</v>
      </c>
      <c r="F926" s="6">
        <v>1</v>
      </c>
      <c r="G926" s="6">
        <v>748</v>
      </c>
    </row>
    <row r="927" s="2" customFormat="true" ht="22.5" customHeight="true" spans="1:7">
      <c r="A927" s="6">
        <f>925</f>
        <v>925</v>
      </c>
      <c r="B927" s="6" t="s">
        <v>958</v>
      </c>
      <c r="C927" s="6" t="s">
        <v>9</v>
      </c>
      <c r="D927" s="6" t="s">
        <v>180</v>
      </c>
      <c r="E927" s="6" t="s">
        <v>11</v>
      </c>
      <c r="F927" s="6">
        <v>3</v>
      </c>
      <c r="G927" s="6">
        <v>1667</v>
      </c>
    </row>
    <row r="928" s="2" customFormat="true" ht="22.5" customHeight="true" spans="1:7">
      <c r="A928" s="6">
        <f>926</f>
        <v>926</v>
      </c>
      <c r="B928" s="6" t="s">
        <v>959</v>
      </c>
      <c r="C928" s="6" t="s">
        <v>9</v>
      </c>
      <c r="D928" s="6" t="s">
        <v>222</v>
      </c>
      <c r="E928" s="6" t="s">
        <v>17</v>
      </c>
      <c r="F928" s="6">
        <v>1</v>
      </c>
      <c r="G928" s="6">
        <v>644</v>
      </c>
    </row>
    <row r="929" s="2" customFormat="true" ht="22.5" customHeight="true" spans="1:7">
      <c r="A929" s="6">
        <f>927</f>
        <v>927</v>
      </c>
      <c r="B929" s="6" t="s">
        <v>960</v>
      </c>
      <c r="C929" s="6" t="s">
        <v>15</v>
      </c>
      <c r="D929" s="6" t="s">
        <v>136</v>
      </c>
      <c r="E929" s="6" t="s">
        <v>17</v>
      </c>
      <c r="F929" s="6">
        <v>1</v>
      </c>
      <c r="G929" s="6">
        <v>729</v>
      </c>
    </row>
    <row r="930" s="2" customFormat="true" ht="22.5" customHeight="true" spans="1:7">
      <c r="A930" s="6">
        <f>928</f>
        <v>928</v>
      </c>
      <c r="B930" s="6" t="s">
        <v>961</v>
      </c>
      <c r="C930" s="6" t="s">
        <v>9</v>
      </c>
      <c r="D930" s="6" t="s">
        <v>49</v>
      </c>
      <c r="E930" s="6" t="s">
        <v>17</v>
      </c>
      <c r="F930" s="6">
        <v>1</v>
      </c>
      <c r="G930" s="6">
        <v>624</v>
      </c>
    </row>
    <row r="931" s="2" customFormat="true" ht="22.5" customHeight="true" spans="1:7">
      <c r="A931" s="6">
        <f>929</f>
        <v>929</v>
      </c>
      <c r="B931" s="6" t="s">
        <v>962</v>
      </c>
      <c r="C931" s="6" t="s">
        <v>9</v>
      </c>
      <c r="D931" s="6" t="s">
        <v>131</v>
      </c>
      <c r="E931" s="6" t="s">
        <v>17</v>
      </c>
      <c r="F931" s="6">
        <v>1</v>
      </c>
      <c r="G931" s="6">
        <v>624</v>
      </c>
    </row>
    <row r="932" s="2" customFormat="true" ht="22.5" customHeight="true" spans="1:7">
      <c r="A932" s="6">
        <f>930</f>
        <v>930</v>
      </c>
      <c r="B932" s="6" t="s">
        <v>963</v>
      </c>
      <c r="C932" s="6" t="s">
        <v>9</v>
      </c>
      <c r="D932" s="6" t="s">
        <v>270</v>
      </c>
      <c r="E932" s="6" t="s">
        <v>17</v>
      </c>
      <c r="F932" s="6">
        <v>1</v>
      </c>
      <c r="G932" s="6">
        <v>657</v>
      </c>
    </row>
    <row r="933" s="2" customFormat="true" ht="22.5" customHeight="true" spans="1:7">
      <c r="A933" s="6">
        <f>931</f>
        <v>931</v>
      </c>
      <c r="B933" s="6" t="s">
        <v>964</v>
      </c>
      <c r="C933" s="6" t="s">
        <v>9</v>
      </c>
      <c r="D933" s="6" t="s">
        <v>185</v>
      </c>
      <c r="E933" s="6" t="s">
        <v>17</v>
      </c>
      <c r="F933" s="6">
        <v>3</v>
      </c>
      <c r="G933" s="6">
        <v>1694</v>
      </c>
    </row>
    <row r="934" s="2" customFormat="true" ht="22.5" customHeight="true" spans="1:7">
      <c r="A934" s="6">
        <f>932</f>
        <v>932</v>
      </c>
      <c r="B934" s="6" t="s">
        <v>965</v>
      </c>
      <c r="C934" s="6" t="s">
        <v>9</v>
      </c>
      <c r="D934" s="6" t="s">
        <v>122</v>
      </c>
      <c r="E934" s="6" t="s">
        <v>11</v>
      </c>
      <c r="F934" s="6">
        <v>1</v>
      </c>
      <c r="G934" s="6">
        <v>509</v>
      </c>
    </row>
    <row r="935" s="2" customFormat="true" ht="22.5" customHeight="true" spans="1:7">
      <c r="A935" s="6">
        <f>933</f>
        <v>933</v>
      </c>
      <c r="B935" s="6" t="s">
        <v>966</v>
      </c>
      <c r="C935" s="6" t="s">
        <v>9</v>
      </c>
      <c r="D935" s="6" t="s">
        <v>192</v>
      </c>
      <c r="E935" s="6" t="s">
        <v>17</v>
      </c>
      <c r="F935" s="6">
        <v>1</v>
      </c>
      <c r="G935" s="6">
        <v>729</v>
      </c>
    </row>
    <row r="936" s="2" customFormat="true" ht="22.5" customHeight="true" spans="1:7">
      <c r="A936" s="6">
        <f>934</f>
        <v>934</v>
      </c>
      <c r="B936" s="6" t="s">
        <v>967</v>
      </c>
      <c r="C936" s="6" t="s">
        <v>15</v>
      </c>
      <c r="D936" s="6" t="s">
        <v>164</v>
      </c>
      <c r="E936" s="6" t="s">
        <v>17</v>
      </c>
      <c r="F936" s="6">
        <v>1</v>
      </c>
      <c r="G936" s="6">
        <v>684</v>
      </c>
    </row>
    <row r="937" s="2" customFormat="true" ht="22.5" customHeight="true" spans="1:7">
      <c r="A937" s="6">
        <f>935</f>
        <v>935</v>
      </c>
      <c r="B937" s="6" t="s">
        <v>968</v>
      </c>
      <c r="C937" s="6" t="s">
        <v>15</v>
      </c>
      <c r="D937" s="6" t="s">
        <v>117</v>
      </c>
      <c r="E937" s="6" t="s">
        <v>17</v>
      </c>
      <c r="F937" s="6">
        <v>1</v>
      </c>
      <c r="G937" s="6">
        <v>649</v>
      </c>
    </row>
    <row r="938" s="2" customFormat="true" ht="22.5" customHeight="true" spans="1:7">
      <c r="A938" s="6">
        <f>936</f>
        <v>936</v>
      </c>
      <c r="B938" s="6" t="s">
        <v>969</v>
      </c>
      <c r="C938" s="6" t="s">
        <v>9</v>
      </c>
      <c r="D938" s="6" t="s">
        <v>202</v>
      </c>
      <c r="E938" s="6" t="s">
        <v>17</v>
      </c>
      <c r="F938" s="6">
        <v>1</v>
      </c>
      <c r="G938" s="6">
        <v>637</v>
      </c>
    </row>
    <row r="939" s="2" customFormat="true" ht="22.5" customHeight="true" spans="1:7">
      <c r="A939" s="6">
        <f>937</f>
        <v>937</v>
      </c>
      <c r="B939" s="6" t="s">
        <v>970</v>
      </c>
      <c r="C939" s="6" t="s">
        <v>9</v>
      </c>
      <c r="D939" s="6" t="s">
        <v>416</v>
      </c>
      <c r="E939" s="6" t="s">
        <v>17</v>
      </c>
      <c r="F939" s="6">
        <v>1</v>
      </c>
      <c r="G939" s="6">
        <v>637</v>
      </c>
    </row>
    <row r="940" s="2" customFormat="true" ht="22.5" customHeight="true" spans="1:7">
      <c r="A940" s="6">
        <f>938</f>
        <v>938</v>
      </c>
      <c r="B940" s="6" t="s">
        <v>971</v>
      </c>
      <c r="C940" s="6" t="s">
        <v>9</v>
      </c>
      <c r="D940" s="6" t="s">
        <v>161</v>
      </c>
      <c r="E940" s="6" t="s">
        <v>17</v>
      </c>
      <c r="F940" s="6">
        <v>1</v>
      </c>
      <c r="G940" s="6">
        <v>664</v>
      </c>
    </row>
    <row r="941" s="2" customFormat="true" ht="22.5" customHeight="true" spans="1:7">
      <c r="A941" s="6">
        <f>939</f>
        <v>939</v>
      </c>
      <c r="B941" s="6" t="s">
        <v>972</v>
      </c>
      <c r="C941" s="6" t="s">
        <v>15</v>
      </c>
      <c r="D941" s="6" t="s">
        <v>49</v>
      </c>
      <c r="E941" s="6" t="s">
        <v>17</v>
      </c>
      <c r="F941" s="6">
        <v>1</v>
      </c>
      <c r="G941" s="6">
        <v>642</v>
      </c>
    </row>
    <row r="942" s="2" customFormat="true" ht="22.5" customHeight="true" spans="1:7">
      <c r="A942" s="6">
        <f>940</f>
        <v>940</v>
      </c>
      <c r="B942" s="6" t="s">
        <v>973</v>
      </c>
      <c r="C942" s="6" t="s">
        <v>9</v>
      </c>
      <c r="D942" s="6" t="s">
        <v>149</v>
      </c>
      <c r="E942" s="6" t="s">
        <v>17</v>
      </c>
      <c r="F942" s="6">
        <v>1</v>
      </c>
      <c r="G942" s="6">
        <v>664</v>
      </c>
    </row>
    <row r="943" s="2" customFormat="true" ht="22.5" customHeight="true" spans="1:7">
      <c r="A943" s="6">
        <f>941</f>
        <v>941</v>
      </c>
      <c r="B943" s="6" t="s">
        <v>974</v>
      </c>
      <c r="C943" s="6" t="s">
        <v>9</v>
      </c>
      <c r="D943" s="6" t="s">
        <v>209</v>
      </c>
      <c r="E943" s="6" t="s">
        <v>17</v>
      </c>
      <c r="F943" s="6">
        <v>1</v>
      </c>
      <c r="G943" s="6">
        <v>657</v>
      </c>
    </row>
    <row r="944" s="2" customFormat="true" ht="22.5" customHeight="true" spans="1:7">
      <c r="A944" s="6">
        <f>942</f>
        <v>942</v>
      </c>
      <c r="B944" s="6" t="s">
        <v>975</v>
      </c>
      <c r="C944" s="6" t="s">
        <v>15</v>
      </c>
      <c r="D944" s="6" t="s">
        <v>138</v>
      </c>
      <c r="E944" s="6" t="s">
        <v>17</v>
      </c>
      <c r="F944" s="6">
        <v>1</v>
      </c>
      <c r="G944" s="6">
        <v>637</v>
      </c>
    </row>
    <row r="945" s="2" customFormat="true" ht="22.5" customHeight="true" spans="1:7">
      <c r="A945" s="6">
        <f>943</f>
        <v>943</v>
      </c>
      <c r="B945" s="6" t="s">
        <v>976</v>
      </c>
      <c r="C945" s="6" t="s">
        <v>9</v>
      </c>
      <c r="D945" s="6" t="s">
        <v>167</v>
      </c>
      <c r="E945" s="6" t="s">
        <v>17</v>
      </c>
      <c r="F945" s="6">
        <v>1</v>
      </c>
      <c r="G945" s="6">
        <v>664</v>
      </c>
    </row>
    <row r="946" s="2" customFormat="true" ht="22.5" customHeight="true" spans="1:7">
      <c r="A946" s="6">
        <f>944</f>
        <v>944</v>
      </c>
      <c r="B946" s="6" t="s">
        <v>977</v>
      </c>
      <c r="C946" s="6" t="s">
        <v>15</v>
      </c>
      <c r="D946" s="6" t="s">
        <v>209</v>
      </c>
      <c r="E946" s="6" t="s">
        <v>17</v>
      </c>
      <c r="F946" s="6">
        <v>1</v>
      </c>
      <c r="G946" s="6">
        <v>664</v>
      </c>
    </row>
    <row r="947" s="2" customFormat="true" ht="22.5" customHeight="true" spans="1:7">
      <c r="A947" s="6">
        <f>945</f>
        <v>945</v>
      </c>
      <c r="B947" s="6" t="s">
        <v>978</v>
      </c>
      <c r="C947" s="6" t="s">
        <v>15</v>
      </c>
      <c r="D947" s="6" t="s">
        <v>129</v>
      </c>
      <c r="E947" s="6" t="s">
        <v>17</v>
      </c>
      <c r="F947" s="6">
        <v>1</v>
      </c>
      <c r="G947" s="6">
        <v>652</v>
      </c>
    </row>
    <row r="948" s="2" customFormat="true" ht="22.5" customHeight="true" spans="1:7">
      <c r="A948" s="6">
        <f>946</f>
        <v>946</v>
      </c>
      <c r="B948" s="6" t="s">
        <v>979</v>
      </c>
      <c r="C948" s="6" t="s">
        <v>9</v>
      </c>
      <c r="D948" s="6" t="s">
        <v>136</v>
      </c>
      <c r="E948" s="6" t="s">
        <v>17</v>
      </c>
      <c r="F948" s="6">
        <v>1</v>
      </c>
      <c r="G948" s="6">
        <v>664</v>
      </c>
    </row>
    <row r="949" s="2" customFormat="true" ht="22.5" customHeight="true" spans="1:7">
      <c r="A949" s="6">
        <f>947</f>
        <v>947</v>
      </c>
      <c r="B949" s="6" t="s">
        <v>980</v>
      </c>
      <c r="C949" s="6" t="s">
        <v>15</v>
      </c>
      <c r="D949" s="6" t="s">
        <v>209</v>
      </c>
      <c r="E949" s="6" t="s">
        <v>17</v>
      </c>
      <c r="F949" s="6">
        <v>3</v>
      </c>
      <c r="G949" s="6">
        <v>1820</v>
      </c>
    </row>
    <row r="950" s="2" customFormat="true" ht="22.5" customHeight="true" spans="1:7">
      <c r="A950" s="6">
        <f>948</f>
        <v>948</v>
      </c>
      <c r="B950" s="6" t="s">
        <v>981</v>
      </c>
      <c r="C950" s="6" t="s">
        <v>9</v>
      </c>
      <c r="D950" s="6" t="s">
        <v>260</v>
      </c>
      <c r="E950" s="6" t="s">
        <v>17</v>
      </c>
      <c r="F950" s="6">
        <v>1</v>
      </c>
      <c r="G950" s="6">
        <v>644</v>
      </c>
    </row>
    <row r="951" s="2" customFormat="true" ht="22.5" customHeight="true" spans="1:7">
      <c r="A951" s="6">
        <f>949</f>
        <v>949</v>
      </c>
      <c r="B951" s="6" t="s">
        <v>982</v>
      </c>
      <c r="C951" s="6" t="s">
        <v>9</v>
      </c>
      <c r="D951" s="6" t="s">
        <v>136</v>
      </c>
      <c r="E951" s="6" t="s">
        <v>17</v>
      </c>
      <c r="F951" s="6">
        <v>1</v>
      </c>
      <c r="G951" s="6">
        <v>690</v>
      </c>
    </row>
    <row r="952" s="2" customFormat="true" ht="22.5" customHeight="true" spans="1:7">
      <c r="A952" s="6">
        <f>950</f>
        <v>950</v>
      </c>
      <c r="B952" s="6" t="s">
        <v>983</v>
      </c>
      <c r="C952" s="6" t="s">
        <v>9</v>
      </c>
      <c r="D952" s="6" t="s">
        <v>222</v>
      </c>
      <c r="E952" s="6" t="s">
        <v>79</v>
      </c>
      <c r="F952" s="6">
        <v>1</v>
      </c>
      <c r="G952" s="6">
        <v>570</v>
      </c>
    </row>
    <row r="953" s="2" customFormat="true" ht="22.5" customHeight="true" spans="1:7">
      <c r="A953" s="6">
        <f>951</f>
        <v>951</v>
      </c>
      <c r="B953" s="6" t="s">
        <v>984</v>
      </c>
      <c r="C953" s="6" t="s">
        <v>9</v>
      </c>
      <c r="D953" s="6" t="s">
        <v>149</v>
      </c>
      <c r="E953" s="6" t="s">
        <v>17</v>
      </c>
      <c r="F953" s="6">
        <v>1</v>
      </c>
      <c r="G953" s="6">
        <v>659</v>
      </c>
    </row>
    <row r="954" s="2" customFormat="true" ht="22.5" customHeight="true" spans="1:7">
      <c r="A954" s="6">
        <f>952</f>
        <v>952</v>
      </c>
      <c r="B954" s="6" t="s">
        <v>985</v>
      </c>
      <c r="C954" s="6" t="s">
        <v>9</v>
      </c>
      <c r="D954" s="6" t="s">
        <v>138</v>
      </c>
      <c r="E954" s="6" t="s">
        <v>17</v>
      </c>
      <c r="F954" s="6">
        <v>1</v>
      </c>
      <c r="G954" s="6">
        <v>698</v>
      </c>
    </row>
    <row r="955" s="2" customFormat="true" ht="22.5" customHeight="true" spans="1:7">
      <c r="A955" s="6">
        <f>953</f>
        <v>953</v>
      </c>
      <c r="B955" s="6" t="s">
        <v>986</v>
      </c>
      <c r="C955" s="6" t="s">
        <v>15</v>
      </c>
      <c r="D955" s="6" t="s">
        <v>124</v>
      </c>
      <c r="E955" s="6" t="s">
        <v>17</v>
      </c>
      <c r="F955" s="6">
        <v>3</v>
      </c>
      <c r="G955" s="6">
        <v>1580</v>
      </c>
    </row>
    <row r="956" s="2" customFormat="true" ht="22.5" customHeight="true" spans="1:7">
      <c r="A956" s="6">
        <f>954</f>
        <v>954</v>
      </c>
      <c r="B956" s="6" t="s">
        <v>987</v>
      </c>
      <c r="C956" s="6" t="s">
        <v>9</v>
      </c>
      <c r="D956" s="6" t="s">
        <v>167</v>
      </c>
      <c r="E956" s="6" t="s">
        <v>11</v>
      </c>
      <c r="F956" s="6">
        <v>1</v>
      </c>
      <c r="G956" s="6">
        <v>560</v>
      </c>
    </row>
    <row r="957" s="2" customFormat="true" ht="22.5" customHeight="true" spans="1:7">
      <c r="A957" s="6">
        <f>955</f>
        <v>955</v>
      </c>
      <c r="B957" s="6" t="s">
        <v>988</v>
      </c>
      <c r="C957" s="6" t="s">
        <v>15</v>
      </c>
      <c r="D957" s="6" t="s">
        <v>180</v>
      </c>
      <c r="E957" s="6" t="s">
        <v>17</v>
      </c>
      <c r="F957" s="6">
        <v>4</v>
      </c>
      <c r="G957" s="6">
        <v>2129</v>
      </c>
    </row>
    <row r="958" s="2" customFormat="true" ht="22.5" customHeight="true" spans="1:7">
      <c r="A958" s="6">
        <f>956</f>
        <v>956</v>
      </c>
      <c r="B958" s="6" t="s">
        <v>989</v>
      </c>
      <c r="C958" s="6" t="s">
        <v>15</v>
      </c>
      <c r="D958" s="6" t="s">
        <v>67</v>
      </c>
      <c r="E958" s="6" t="s">
        <v>17</v>
      </c>
      <c r="F958" s="6">
        <v>4</v>
      </c>
      <c r="G958" s="6">
        <v>2173</v>
      </c>
    </row>
    <row r="959" s="2" customFormat="true" ht="22.5" customHeight="true" spans="1:7">
      <c r="A959" s="6">
        <f>957</f>
        <v>957</v>
      </c>
      <c r="B959" s="6" t="s">
        <v>990</v>
      </c>
      <c r="C959" s="6" t="s">
        <v>9</v>
      </c>
      <c r="D959" s="6" t="s">
        <v>222</v>
      </c>
      <c r="E959" s="6" t="s">
        <v>11</v>
      </c>
      <c r="F959" s="6">
        <v>2</v>
      </c>
      <c r="G959" s="6">
        <v>1029</v>
      </c>
    </row>
    <row r="960" s="2" customFormat="true" ht="22.5" customHeight="true" spans="1:7">
      <c r="A960" s="6">
        <f>958</f>
        <v>958</v>
      </c>
      <c r="B960" s="6" t="s">
        <v>991</v>
      </c>
      <c r="C960" s="6" t="s">
        <v>9</v>
      </c>
      <c r="D960" s="6" t="s">
        <v>169</v>
      </c>
      <c r="E960" s="6" t="s">
        <v>17</v>
      </c>
      <c r="F960" s="6">
        <v>4</v>
      </c>
      <c r="G960" s="6">
        <v>2238</v>
      </c>
    </row>
    <row r="961" s="2" customFormat="true" ht="22.5" customHeight="true" spans="1:7">
      <c r="A961" s="6">
        <f>959</f>
        <v>959</v>
      </c>
      <c r="B961" s="6" t="s">
        <v>992</v>
      </c>
      <c r="C961" s="6" t="s">
        <v>9</v>
      </c>
      <c r="D961" s="6" t="s">
        <v>185</v>
      </c>
      <c r="E961" s="6" t="s">
        <v>17</v>
      </c>
      <c r="F961" s="6">
        <v>2</v>
      </c>
      <c r="G961" s="6">
        <v>1127</v>
      </c>
    </row>
    <row r="962" s="2" customFormat="true" ht="22.5" customHeight="true" spans="1:7">
      <c r="A962" s="6">
        <f>960</f>
        <v>960</v>
      </c>
      <c r="B962" s="6" t="s">
        <v>993</v>
      </c>
      <c r="C962" s="6" t="s">
        <v>15</v>
      </c>
      <c r="D962" s="6" t="s">
        <v>192</v>
      </c>
      <c r="E962" s="6" t="s">
        <v>17</v>
      </c>
      <c r="F962" s="6">
        <v>4</v>
      </c>
      <c r="G962" s="6">
        <v>2357</v>
      </c>
    </row>
    <row r="963" s="2" customFormat="true" ht="22.5" customHeight="true" spans="1:7">
      <c r="A963" s="6">
        <f>961</f>
        <v>961</v>
      </c>
      <c r="B963" s="6" t="s">
        <v>994</v>
      </c>
      <c r="C963" s="6" t="s">
        <v>9</v>
      </c>
      <c r="D963" s="6" t="s">
        <v>10</v>
      </c>
      <c r="E963" s="6" t="s">
        <v>17</v>
      </c>
      <c r="F963" s="6">
        <v>2</v>
      </c>
      <c r="G963" s="6">
        <v>1154</v>
      </c>
    </row>
    <row r="964" s="2" customFormat="true" ht="22.5" customHeight="true" spans="1:7">
      <c r="A964" s="6">
        <f>962</f>
        <v>962</v>
      </c>
      <c r="B964" s="6" t="s">
        <v>995</v>
      </c>
      <c r="C964" s="6" t="s">
        <v>9</v>
      </c>
      <c r="D964" s="6" t="s">
        <v>19</v>
      </c>
      <c r="E964" s="6" t="s">
        <v>17</v>
      </c>
      <c r="F964" s="6">
        <v>1</v>
      </c>
      <c r="G964" s="6">
        <v>634</v>
      </c>
    </row>
    <row r="965" s="2" customFormat="true" ht="22.5" customHeight="true" spans="1:7">
      <c r="A965" s="6">
        <f>963</f>
        <v>963</v>
      </c>
      <c r="B965" s="6" t="s">
        <v>996</v>
      </c>
      <c r="C965" s="6" t="s">
        <v>15</v>
      </c>
      <c r="D965" s="6" t="s">
        <v>270</v>
      </c>
      <c r="E965" s="6" t="s">
        <v>11</v>
      </c>
      <c r="F965" s="6">
        <v>2</v>
      </c>
      <c r="G965" s="6">
        <v>985</v>
      </c>
    </row>
    <row r="966" s="2" customFormat="true" ht="22.5" customHeight="true" spans="1:7">
      <c r="A966" s="6">
        <f>964</f>
        <v>964</v>
      </c>
      <c r="B966" s="6" t="s">
        <v>997</v>
      </c>
      <c r="C966" s="6" t="s">
        <v>9</v>
      </c>
      <c r="D966" s="6" t="s">
        <v>16</v>
      </c>
      <c r="E966" s="6" t="s">
        <v>17</v>
      </c>
      <c r="F966" s="6">
        <v>2</v>
      </c>
      <c r="G966" s="6">
        <v>1218</v>
      </c>
    </row>
    <row r="967" s="2" customFormat="true" ht="22.5" customHeight="true" spans="1:7">
      <c r="A967" s="6">
        <f>965</f>
        <v>965</v>
      </c>
      <c r="B967" s="6" t="s">
        <v>998</v>
      </c>
      <c r="C967" s="6" t="s">
        <v>9</v>
      </c>
      <c r="D967" s="6" t="s">
        <v>122</v>
      </c>
      <c r="E967" s="6" t="s">
        <v>17</v>
      </c>
      <c r="F967" s="6">
        <v>2</v>
      </c>
      <c r="G967" s="6">
        <v>1230</v>
      </c>
    </row>
    <row r="968" s="2" customFormat="true" ht="22.5" customHeight="true" spans="1:7">
      <c r="A968" s="6">
        <f>966</f>
        <v>966</v>
      </c>
      <c r="B968" s="6" t="s">
        <v>999</v>
      </c>
      <c r="C968" s="6" t="s">
        <v>15</v>
      </c>
      <c r="D968" s="6" t="s">
        <v>222</v>
      </c>
      <c r="E968" s="6" t="s">
        <v>17</v>
      </c>
      <c r="F968" s="6">
        <v>1</v>
      </c>
      <c r="G968" s="6">
        <v>682</v>
      </c>
    </row>
    <row r="969" s="2" customFormat="true" ht="22.5" customHeight="true" spans="1:7">
      <c r="A969" s="6">
        <f>967</f>
        <v>967</v>
      </c>
      <c r="B969" s="6" t="s">
        <v>1000</v>
      </c>
      <c r="C969" s="6" t="s">
        <v>15</v>
      </c>
      <c r="D969" s="6" t="s">
        <v>164</v>
      </c>
      <c r="E969" s="6" t="s">
        <v>17</v>
      </c>
      <c r="F969" s="6">
        <v>1</v>
      </c>
      <c r="G969" s="6">
        <v>624</v>
      </c>
    </row>
    <row r="970" s="2" customFormat="true" ht="22.5" customHeight="true" spans="1:7">
      <c r="A970" s="6">
        <f>968</f>
        <v>968</v>
      </c>
      <c r="B970" s="6" t="s">
        <v>1001</v>
      </c>
      <c r="C970" s="6" t="s">
        <v>9</v>
      </c>
      <c r="D970" s="6" t="s">
        <v>122</v>
      </c>
      <c r="E970" s="6" t="s">
        <v>17</v>
      </c>
      <c r="F970" s="6">
        <v>1</v>
      </c>
      <c r="G970" s="6">
        <v>549</v>
      </c>
    </row>
    <row r="971" s="2" customFormat="true" ht="22.5" customHeight="true" spans="1:7">
      <c r="A971" s="6">
        <f>969</f>
        <v>969</v>
      </c>
      <c r="B971" s="6" t="s">
        <v>1002</v>
      </c>
      <c r="C971" s="6" t="s">
        <v>15</v>
      </c>
      <c r="D971" s="6" t="s">
        <v>122</v>
      </c>
      <c r="E971" s="6" t="s">
        <v>17</v>
      </c>
      <c r="F971" s="6">
        <v>1</v>
      </c>
      <c r="G971" s="6">
        <v>624</v>
      </c>
    </row>
    <row r="972" s="2" customFormat="true" ht="22.5" customHeight="true" spans="1:7">
      <c r="A972" s="6">
        <f>970</f>
        <v>970</v>
      </c>
      <c r="B972" s="6" t="s">
        <v>1003</v>
      </c>
      <c r="C972" s="6" t="s">
        <v>9</v>
      </c>
      <c r="D972" s="6" t="s">
        <v>182</v>
      </c>
      <c r="E972" s="6" t="s">
        <v>11</v>
      </c>
      <c r="F972" s="6">
        <v>1</v>
      </c>
      <c r="G972" s="6">
        <v>601</v>
      </c>
    </row>
    <row r="973" s="2" customFormat="true" ht="22.5" customHeight="true" spans="1:7">
      <c r="A973" s="6">
        <f>971</f>
        <v>971</v>
      </c>
      <c r="B973" s="6" t="s">
        <v>1004</v>
      </c>
      <c r="C973" s="6" t="s">
        <v>15</v>
      </c>
      <c r="D973" s="6" t="s">
        <v>182</v>
      </c>
      <c r="E973" s="6" t="s">
        <v>17</v>
      </c>
      <c r="F973" s="6">
        <v>1</v>
      </c>
      <c r="G973" s="6">
        <v>690</v>
      </c>
    </row>
    <row r="974" s="2" customFormat="true" ht="22.5" customHeight="true" spans="1:7">
      <c r="A974" s="6">
        <f>972</f>
        <v>972</v>
      </c>
      <c r="B974" s="6" t="s">
        <v>1005</v>
      </c>
      <c r="C974" s="6" t="s">
        <v>9</v>
      </c>
      <c r="D974" s="6" t="s">
        <v>180</v>
      </c>
      <c r="E974" s="6" t="s">
        <v>11</v>
      </c>
      <c r="F974" s="6">
        <v>1</v>
      </c>
      <c r="G974" s="6">
        <v>574</v>
      </c>
    </row>
    <row r="975" s="2" customFormat="true" ht="22.5" customHeight="true" spans="1:7">
      <c r="A975" s="6">
        <f>973</f>
        <v>973</v>
      </c>
      <c r="B975" s="6" t="s">
        <v>1006</v>
      </c>
      <c r="C975" s="6" t="s">
        <v>15</v>
      </c>
      <c r="D975" s="6" t="s">
        <v>188</v>
      </c>
      <c r="E975" s="6" t="s">
        <v>17</v>
      </c>
      <c r="F975" s="6">
        <v>1</v>
      </c>
      <c r="G975" s="6">
        <v>654</v>
      </c>
    </row>
    <row r="976" s="2" customFormat="true" ht="22.5" customHeight="true" spans="1:7">
      <c r="A976" s="6">
        <f>974</f>
        <v>974</v>
      </c>
      <c r="B976" s="6" t="s">
        <v>75</v>
      </c>
      <c r="C976" s="6" t="s">
        <v>9</v>
      </c>
      <c r="D976" s="6" t="s">
        <v>180</v>
      </c>
      <c r="E976" s="6" t="s">
        <v>11</v>
      </c>
      <c r="F976" s="6">
        <v>1</v>
      </c>
      <c r="G976" s="6">
        <v>417</v>
      </c>
    </row>
    <row r="977" s="2" customFormat="true" ht="22.5" customHeight="true" spans="1:7">
      <c r="A977" s="6">
        <f>975</f>
        <v>975</v>
      </c>
      <c r="B977" s="6" t="s">
        <v>1007</v>
      </c>
      <c r="C977" s="6" t="s">
        <v>15</v>
      </c>
      <c r="D977" s="6" t="s">
        <v>104</v>
      </c>
      <c r="E977" s="6" t="s">
        <v>17</v>
      </c>
      <c r="F977" s="6">
        <v>1</v>
      </c>
      <c r="G977" s="6">
        <v>643</v>
      </c>
    </row>
    <row r="978" s="2" customFormat="true" ht="22.5" customHeight="true" spans="1:7">
      <c r="A978" s="6">
        <f>976</f>
        <v>976</v>
      </c>
      <c r="B978" s="6" t="s">
        <v>1008</v>
      </c>
      <c r="C978" s="6" t="s">
        <v>9</v>
      </c>
      <c r="D978" s="6" t="s">
        <v>188</v>
      </c>
      <c r="E978" s="6" t="s">
        <v>17</v>
      </c>
      <c r="F978" s="6">
        <v>2</v>
      </c>
      <c r="G978" s="6">
        <v>1230</v>
      </c>
    </row>
    <row r="979" s="2" customFormat="true" ht="22.5" customHeight="true" spans="1:7">
      <c r="A979" s="6">
        <f>977</f>
        <v>977</v>
      </c>
      <c r="B979" s="6" t="s">
        <v>1009</v>
      </c>
      <c r="C979" s="6" t="s">
        <v>9</v>
      </c>
      <c r="D979" s="6" t="s">
        <v>260</v>
      </c>
      <c r="E979" s="6" t="s">
        <v>17</v>
      </c>
      <c r="F979" s="6">
        <v>3</v>
      </c>
      <c r="G979" s="6">
        <v>1572</v>
      </c>
    </row>
    <row r="980" s="2" customFormat="true" ht="22.5" customHeight="true" spans="1:7">
      <c r="A980" s="6">
        <f>978</f>
        <v>978</v>
      </c>
      <c r="B980" s="6" t="s">
        <v>1010</v>
      </c>
      <c r="C980" s="6" t="s">
        <v>9</v>
      </c>
      <c r="D980" s="6" t="s">
        <v>188</v>
      </c>
      <c r="E980" s="6" t="s">
        <v>17</v>
      </c>
      <c r="F980" s="6">
        <v>1</v>
      </c>
      <c r="G980" s="6">
        <v>624</v>
      </c>
    </row>
    <row r="981" s="2" customFormat="true" ht="22.5" customHeight="true" spans="1:7">
      <c r="A981" s="6">
        <f>979</f>
        <v>979</v>
      </c>
      <c r="B981" s="6" t="s">
        <v>1011</v>
      </c>
      <c r="C981" s="6" t="s">
        <v>9</v>
      </c>
      <c r="D981" s="6" t="s">
        <v>188</v>
      </c>
      <c r="E981" s="6" t="s">
        <v>17</v>
      </c>
      <c r="F981" s="6">
        <v>3</v>
      </c>
      <c r="G981" s="6">
        <v>1707</v>
      </c>
    </row>
    <row r="982" s="2" customFormat="true" ht="22.5" customHeight="true" spans="1:7">
      <c r="A982" s="6">
        <f>980</f>
        <v>980</v>
      </c>
      <c r="B982" s="6" t="s">
        <v>1012</v>
      </c>
      <c r="C982" s="6" t="s">
        <v>9</v>
      </c>
      <c r="D982" s="6" t="s">
        <v>222</v>
      </c>
      <c r="E982" s="6" t="s">
        <v>17</v>
      </c>
      <c r="F982" s="6">
        <v>2</v>
      </c>
      <c r="G982" s="6">
        <v>973</v>
      </c>
    </row>
    <row r="983" s="2" customFormat="true" ht="22.5" customHeight="true" spans="1:7">
      <c r="A983" s="6">
        <f>981</f>
        <v>981</v>
      </c>
      <c r="B983" s="6" t="s">
        <v>1013</v>
      </c>
      <c r="C983" s="6" t="s">
        <v>9</v>
      </c>
      <c r="D983" s="6" t="s">
        <v>19</v>
      </c>
      <c r="E983" s="6" t="s">
        <v>11</v>
      </c>
      <c r="F983" s="6">
        <v>2</v>
      </c>
      <c r="G983" s="6">
        <v>981</v>
      </c>
    </row>
    <row r="984" s="2" customFormat="true" ht="22.5" customHeight="true" spans="1:7">
      <c r="A984" s="6">
        <f>982</f>
        <v>982</v>
      </c>
      <c r="B984" s="6" t="s">
        <v>1014</v>
      </c>
      <c r="C984" s="6" t="s">
        <v>9</v>
      </c>
      <c r="D984" s="6" t="s">
        <v>270</v>
      </c>
      <c r="E984" s="6" t="s">
        <v>17</v>
      </c>
      <c r="F984" s="6">
        <v>2</v>
      </c>
      <c r="G984" s="6">
        <v>1257</v>
      </c>
    </row>
    <row r="985" s="2" customFormat="true" ht="22.5" customHeight="true" spans="1:7">
      <c r="A985" s="6">
        <f>983</f>
        <v>983</v>
      </c>
      <c r="B985" s="6" t="s">
        <v>1015</v>
      </c>
      <c r="C985" s="6" t="s">
        <v>15</v>
      </c>
      <c r="D985" s="6" t="s">
        <v>260</v>
      </c>
      <c r="E985" s="6" t="s">
        <v>17</v>
      </c>
      <c r="F985" s="6">
        <v>3</v>
      </c>
      <c r="G985" s="6">
        <v>1789</v>
      </c>
    </row>
    <row r="986" s="2" customFormat="true" ht="22.5" customHeight="true" spans="1:7">
      <c r="A986" s="6">
        <f>984</f>
        <v>984</v>
      </c>
      <c r="B986" s="6" t="s">
        <v>1016</v>
      </c>
      <c r="C986" s="6" t="s">
        <v>9</v>
      </c>
      <c r="D986" s="6" t="s">
        <v>16</v>
      </c>
      <c r="E986" s="6" t="s">
        <v>17</v>
      </c>
      <c r="F986" s="6">
        <v>3</v>
      </c>
      <c r="G986" s="6">
        <v>1810</v>
      </c>
    </row>
    <row r="987" s="2" customFormat="true" ht="22.5" customHeight="true" spans="1:7">
      <c r="A987" s="6">
        <f>985</f>
        <v>985</v>
      </c>
      <c r="B987" s="6" t="s">
        <v>1017</v>
      </c>
      <c r="C987" s="6" t="s">
        <v>15</v>
      </c>
      <c r="D987" s="6" t="s">
        <v>133</v>
      </c>
      <c r="E987" s="6" t="s">
        <v>17</v>
      </c>
      <c r="F987" s="6">
        <v>1</v>
      </c>
      <c r="G987" s="6">
        <v>624</v>
      </c>
    </row>
    <row r="988" s="2" customFormat="true" ht="22.5" customHeight="true" spans="1:7">
      <c r="A988" s="6">
        <f>986</f>
        <v>986</v>
      </c>
      <c r="B988" s="6" t="s">
        <v>1018</v>
      </c>
      <c r="C988" s="6" t="s">
        <v>9</v>
      </c>
      <c r="D988" s="6" t="s">
        <v>133</v>
      </c>
      <c r="E988" s="6" t="s">
        <v>17</v>
      </c>
      <c r="F988" s="6">
        <v>1</v>
      </c>
      <c r="G988" s="6">
        <v>577</v>
      </c>
    </row>
    <row r="989" s="2" customFormat="true" ht="22.5" customHeight="true" spans="1:7">
      <c r="A989" s="6">
        <f>987</f>
        <v>987</v>
      </c>
      <c r="B989" s="6" t="s">
        <v>1019</v>
      </c>
      <c r="C989" s="6" t="s">
        <v>9</v>
      </c>
      <c r="D989" s="6" t="s">
        <v>16</v>
      </c>
      <c r="E989" s="6" t="s">
        <v>17</v>
      </c>
      <c r="F989" s="6">
        <v>2</v>
      </c>
      <c r="G989" s="6">
        <v>1266</v>
      </c>
    </row>
    <row r="990" s="2" customFormat="true" ht="22.5" customHeight="true" spans="1:7">
      <c r="A990" s="6">
        <f>988</f>
        <v>988</v>
      </c>
      <c r="B990" s="6" t="s">
        <v>1020</v>
      </c>
      <c r="C990" s="6" t="s">
        <v>9</v>
      </c>
      <c r="D990" s="6" t="s">
        <v>133</v>
      </c>
      <c r="E990" s="6" t="s">
        <v>17</v>
      </c>
      <c r="F990" s="6">
        <v>2</v>
      </c>
      <c r="G990" s="6">
        <v>1230</v>
      </c>
    </row>
    <row r="991" s="2" customFormat="true" ht="22.5" customHeight="true" spans="1:7">
      <c r="A991" s="6">
        <f>989</f>
        <v>989</v>
      </c>
      <c r="B991" s="6" t="s">
        <v>1021</v>
      </c>
      <c r="C991" s="6" t="s">
        <v>9</v>
      </c>
      <c r="D991" s="6" t="s">
        <v>122</v>
      </c>
      <c r="E991" s="6" t="s">
        <v>17</v>
      </c>
      <c r="F991" s="6">
        <v>2</v>
      </c>
      <c r="G991" s="6">
        <v>1270</v>
      </c>
    </row>
    <row r="992" s="2" customFormat="true" ht="22.5" customHeight="true" spans="1:7">
      <c r="A992" s="6">
        <f>990</f>
        <v>990</v>
      </c>
      <c r="B992" s="6" t="s">
        <v>1022</v>
      </c>
      <c r="C992" s="6" t="s">
        <v>9</v>
      </c>
      <c r="D992" s="6" t="s">
        <v>133</v>
      </c>
      <c r="E992" s="6" t="s">
        <v>17</v>
      </c>
      <c r="F992" s="6">
        <v>2</v>
      </c>
      <c r="G992" s="6">
        <v>1230</v>
      </c>
    </row>
    <row r="993" s="2" customFormat="true" ht="22.5" customHeight="true" spans="1:7">
      <c r="A993" s="6">
        <f>991</f>
        <v>991</v>
      </c>
      <c r="B993" s="6" t="s">
        <v>1023</v>
      </c>
      <c r="C993" s="6" t="s">
        <v>9</v>
      </c>
      <c r="D993" s="6" t="s">
        <v>182</v>
      </c>
      <c r="E993" s="6" t="s">
        <v>11</v>
      </c>
      <c r="F993" s="6">
        <v>1</v>
      </c>
      <c r="G993" s="6">
        <v>574</v>
      </c>
    </row>
    <row r="994" s="2" customFormat="true" ht="22.5" customHeight="true" spans="1:7">
      <c r="A994" s="6">
        <f>992</f>
        <v>992</v>
      </c>
      <c r="B994" s="6" t="s">
        <v>1024</v>
      </c>
      <c r="C994" s="6" t="s">
        <v>9</v>
      </c>
      <c r="D994" s="6" t="s">
        <v>136</v>
      </c>
      <c r="E994" s="6" t="s">
        <v>17</v>
      </c>
      <c r="F994" s="6">
        <v>2</v>
      </c>
      <c r="G994" s="6">
        <v>1075</v>
      </c>
    </row>
    <row r="995" s="2" customFormat="true" ht="22.5" customHeight="true" spans="1:7">
      <c r="A995" s="6">
        <f>993</f>
        <v>993</v>
      </c>
      <c r="B995" s="6" t="s">
        <v>1025</v>
      </c>
      <c r="C995" s="6" t="s">
        <v>9</v>
      </c>
      <c r="D995" s="6" t="s">
        <v>16</v>
      </c>
      <c r="E995" s="6" t="s">
        <v>17</v>
      </c>
      <c r="F995" s="6">
        <v>1</v>
      </c>
      <c r="G995" s="6">
        <v>654</v>
      </c>
    </row>
    <row r="996" s="2" customFormat="true" ht="22.5" customHeight="true" spans="1:7">
      <c r="A996" s="6">
        <f>994</f>
        <v>994</v>
      </c>
      <c r="B996" s="6" t="s">
        <v>1026</v>
      </c>
      <c r="C996" s="6" t="s">
        <v>9</v>
      </c>
      <c r="D996" s="6" t="s">
        <v>131</v>
      </c>
      <c r="E996" s="6" t="s">
        <v>17</v>
      </c>
      <c r="F996" s="6">
        <v>1</v>
      </c>
      <c r="G996" s="6">
        <v>551</v>
      </c>
    </row>
    <row r="997" s="2" customFormat="true" ht="22.5" customHeight="true" spans="1:7">
      <c r="A997" s="6">
        <f>995</f>
        <v>995</v>
      </c>
      <c r="B997" s="6" t="s">
        <v>1027</v>
      </c>
      <c r="C997" s="6" t="s">
        <v>9</v>
      </c>
      <c r="D997" s="6" t="s">
        <v>133</v>
      </c>
      <c r="E997" s="6" t="s">
        <v>17</v>
      </c>
      <c r="F997" s="6">
        <v>2</v>
      </c>
      <c r="G997" s="6">
        <v>1127</v>
      </c>
    </row>
    <row r="998" s="2" customFormat="true" ht="22.5" customHeight="true" spans="1:7">
      <c r="A998" s="6">
        <f>996</f>
        <v>996</v>
      </c>
      <c r="B998" s="6" t="s">
        <v>1028</v>
      </c>
      <c r="C998" s="6" t="s">
        <v>9</v>
      </c>
      <c r="D998" s="6" t="s">
        <v>192</v>
      </c>
      <c r="E998" s="6" t="s">
        <v>11</v>
      </c>
      <c r="F998" s="6">
        <v>2</v>
      </c>
      <c r="G998" s="6">
        <v>1034</v>
      </c>
    </row>
    <row r="999" s="2" customFormat="true" ht="22.5" customHeight="true" spans="1:7">
      <c r="A999" s="6">
        <f>997</f>
        <v>997</v>
      </c>
      <c r="B999" s="6" t="s">
        <v>1029</v>
      </c>
      <c r="C999" s="6" t="s">
        <v>9</v>
      </c>
      <c r="D999" s="6" t="s">
        <v>133</v>
      </c>
      <c r="E999" s="6" t="s">
        <v>17</v>
      </c>
      <c r="F999" s="6">
        <v>1</v>
      </c>
      <c r="G999" s="6">
        <v>624</v>
      </c>
    </row>
    <row r="1000" s="2" customFormat="true" ht="22.5" customHeight="true" spans="1:7">
      <c r="A1000" s="6">
        <f>998</f>
        <v>998</v>
      </c>
      <c r="B1000" s="6" t="s">
        <v>1030</v>
      </c>
      <c r="C1000" s="6" t="s">
        <v>15</v>
      </c>
      <c r="D1000" s="6" t="s">
        <v>133</v>
      </c>
      <c r="E1000" s="6" t="s">
        <v>17</v>
      </c>
      <c r="F1000" s="6">
        <v>2</v>
      </c>
      <c r="G1000" s="6">
        <v>1214</v>
      </c>
    </row>
    <row r="1001" s="2" customFormat="true" ht="22.5" customHeight="true" spans="1:7">
      <c r="A1001" s="6">
        <f>999</f>
        <v>999</v>
      </c>
      <c r="B1001" s="6" t="s">
        <v>1031</v>
      </c>
      <c r="C1001" s="6" t="s">
        <v>9</v>
      </c>
      <c r="D1001" s="6" t="s">
        <v>133</v>
      </c>
      <c r="E1001" s="6" t="s">
        <v>17</v>
      </c>
      <c r="F1001" s="6">
        <v>2</v>
      </c>
      <c r="G1001" s="6">
        <v>1230</v>
      </c>
    </row>
    <row r="1002" s="2" customFormat="true" ht="22.5" customHeight="true" spans="1:7">
      <c r="A1002" s="6">
        <f>1000</f>
        <v>1000</v>
      </c>
      <c r="B1002" s="6" t="s">
        <v>1032</v>
      </c>
      <c r="C1002" s="6" t="s">
        <v>15</v>
      </c>
      <c r="D1002" s="6" t="s">
        <v>182</v>
      </c>
      <c r="E1002" s="6" t="s">
        <v>79</v>
      </c>
      <c r="F1002" s="6">
        <v>3</v>
      </c>
      <c r="G1002" s="6">
        <v>1613</v>
      </c>
    </row>
    <row r="1003" s="2" customFormat="true" ht="22.5" customHeight="true" spans="1:7">
      <c r="A1003" s="6">
        <f>1001</f>
        <v>1001</v>
      </c>
      <c r="B1003" s="6" t="s">
        <v>1033</v>
      </c>
      <c r="C1003" s="6" t="s">
        <v>9</v>
      </c>
      <c r="D1003" s="6" t="s">
        <v>182</v>
      </c>
      <c r="E1003" s="6" t="s">
        <v>11</v>
      </c>
      <c r="F1003" s="6">
        <v>3</v>
      </c>
      <c r="G1003" s="6">
        <v>1556</v>
      </c>
    </row>
    <row r="1004" s="2" customFormat="true" ht="22.5" customHeight="true" spans="1:7">
      <c r="A1004" s="6">
        <f>1002</f>
        <v>1002</v>
      </c>
      <c r="B1004" s="6" t="s">
        <v>1034</v>
      </c>
      <c r="C1004" s="6" t="s">
        <v>9</v>
      </c>
      <c r="D1004" s="6" t="s">
        <v>131</v>
      </c>
      <c r="E1004" s="6" t="s">
        <v>17</v>
      </c>
      <c r="F1004" s="6">
        <v>1</v>
      </c>
      <c r="G1004" s="6">
        <v>624</v>
      </c>
    </row>
    <row r="1005" s="2" customFormat="true" ht="22.5" customHeight="true" spans="1:7">
      <c r="A1005" s="6">
        <f>1003</f>
        <v>1003</v>
      </c>
      <c r="B1005" s="6" t="s">
        <v>1035</v>
      </c>
      <c r="C1005" s="6" t="s">
        <v>9</v>
      </c>
      <c r="D1005" s="6" t="s">
        <v>133</v>
      </c>
      <c r="E1005" s="6" t="s">
        <v>17</v>
      </c>
      <c r="F1005" s="6">
        <v>2</v>
      </c>
      <c r="G1005" s="6">
        <v>1290</v>
      </c>
    </row>
    <row r="1006" s="2" customFormat="true" ht="22.5" customHeight="true" spans="1:7">
      <c r="A1006" s="6">
        <f>1004</f>
        <v>1004</v>
      </c>
      <c r="B1006" s="6" t="s">
        <v>1036</v>
      </c>
      <c r="C1006" s="6" t="s">
        <v>9</v>
      </c>
      <c r="D1006" s="6" t="s">
        <v>16</v>
      </c>
      <c r="E1006" s="6" t="s">
        <v>17</v>
      </c>
      <c r="F1006" s="6">
        <v>2</v>
      </c>
      <c r="G1006" s="6">
        <v>1208</v>
      </c>
    </row>
    <row r="1007" s="2" customFormat="true" ht="22.5" customHeight="true" spans="1:7">
      <c r="A1007" s="6">
        <f>1005</f>
        <v>1005</v>
      </c>
      <c r="B1007" s="6" t="s">
        <v>1037</v>
      </c>
      <c r="C1007" s="6" t="s">
        <v>9</v>
      </c>
      <c r="D1007" s="6" t="s">
        <v>133</v>
      </c>
      <c r="E1007" s="6" t="s">
        <v>17</v>
      </c>
      <c r="F1007" s="6">
        <v>2</v>
      </c>
      <c r="G1007" s="6">
        <v>1190</v>
      </c>
    </row>
    <row r="1008" s="2" customFormat="true" ht="22.5" customHeight="true" spans="1:7">
      <c r="A1008" s="6">
        <f>1006</f>
        <v>1006</v>
      </c>
      <c r="B1008" s="6" t="s">
        <v>1038</v>
      </c>
      <c r="C1008" s="6" t="s">
        <v>15</v>
      </c>
      <c r="D1008" s="6" t="s">
        <v>133</v>
      </c>
      <c r="E1008" s="6" t="s">
        <v>17</v>
      </c>
      <c r="F1008" s="6">
        <v>1</v>
      </c>
      <c r="G1008" s="6">
        <v>624</v>
      </c>
    </row>
    <row r="1009" s="2" customFormat="true" ht="22.5" customHeight="true" spans="1:7">
      <c r="A1009" s="6">
        <f>1007</f>
        <v>1007</v>
      </c>
      <c r="B1009" s="6" t="s">
        <v>1039</v>
      </c>
      <c r="C1009" s="6" t="s">
        <v>9</v>
      </c>
      <c r="D1009" s="6" t="s">
        <v>16</v>
      </c>
      <c r="E1009" s="6" t="s">
        <v>17</v>
      </c>
      <c r="F1009" s="6">
        <v>2</v>
      </c>
      <c r="G1009" s="6">
        <v>1173</v>
      </c>
    </row>
    <row r="1010" s="2" customFormat="true" ht="22.5" customHeight="true" spans="1:7">
      <c r="A1010" s="6">
        <f>1008</f>
        <v>1008</v>
      </c>
      <c r="B1010" s="6" t="s">
        <v>1040</v>
      </c>
      <c r="C1010" s="6" t="s">
        <v>9</v>
      </c>
      <c r="D1010" s="6" t="s">
        <v>133</v>
      </c>
      <c r="E1010" s="6" t="s">
        <v>17</v>
      </c>
      <c r="F1010" s="6">
        <v>2</v>
      </c>
      <c r="G1010" s="6">
        <v>1215</v>
      </c>
    </row>
    <row r="1011" s="2" customFormat="true" ht="22.5" customHeight="true" spans="1:7">
      <c r="A1011" s="6">
        <f>1009</f>
        <v>1009</v>
      </c>
      <c r="B1011" s="6" t="s">
        <v>198</v>
      </c>
      <c r="C1011" s="6" t="s">
        <v>15</v>
      </c>
      <c r="D1011" s="6" t="s">
        <v>149</v>
      </c>
      <c r="E1011" s="6" t="s">
        <v>11</v>
      </c>
      <c r="F1011" s="6">
        <v>1</v>
      </c>
      <c r="G1011" s="6">
        <v>579</v>
      </c>
    </row>
    <row r="1012" s="2" customFormat="true" ht="22.5" customHeight="true" spans="1:7">
      <c r="A1012" s="6">
        <f>1010</f>
        <v>1010</v>
      </c>
      <c r="B1012" s="6" t="s">
        <v>1041</v>
      </c>
      <c r="C1012" s="6" t="s">
        <v>9</v>
      </c>
      <c r="D1012" s="6" t="s">
        <v>149</v>
      </c>
      <c r="E1012" s="6" t="s">
        <v>17</v>
      </c>
      <c r="F1012" s="6">
        <v>3</v>
      </c>
      <c r="G1012" s="6">
        <v>1883</v>
      </c>
    </row>
    <row r="1013" s="2" customFormat="true" ht="22.5" customHeight="true" spans="1:7">
      <c r="A1013" s="6">
        <f>1011</f>
        <v>1011</v>
      </c>
      <c r="B1013" s="6" t="s">
        <v>1042</v>
      </c>
      <c r="C1013" s="6" t="s">
        <v>9</v>
      </c>
      <c r="D1013" s="6" t="s">
        <v>149</v>
      </c>
      <c r="E1013" s="6" t="s">
        <v>17</v>
      </c>
      <c r="F1013" s="6">
        <v>1</v>
      </c>
      <c r="G1013" s="6">
        <v>624</v>
      </c>
    </row>
    <row r="1014" s="2" customFormat="true" ht="22.5" customHeight="true" spans="1:7">
      <c r="A1014" s="6">
        <f>1012</f>
        <v>1012</v>
      </c>
      <c r="B1014" s="6" t="s">
        <v>1043</v>
      </c>
      <c r="C1014" s="6" t="s">
        <v>9</v>
      </c>
      <c r="D1014" s="6" t="s">
        <v>19</v>
      </c>
      <c r="E1014" s="6" t="s">
        <v>17</v>
      </c>
      <c r="F1014" s="6">
        <v>1</v>
      </c>
      <c r="G1014" s="6">
        <v>656</v>
      </c>
    </row>
    <row r="1015" s="2" customFormat="true" ht="22.5" customHeight="true" spans="1:7">
      <c r="A1015" s="6">
        <f>1013</f>
        <v>1013</v>
      </c>
      <c r="B1015" s="6" t="s">
        <v>1044</v>
      </c>
      <c r="C1015" s="6" t="s">
        <v>9</v>
      </c>
      <c r="D1015" s="6" t="s">
        <v>35</v>
      </c>
      <c r="E1015" s="6" t="s">
        <v>11</v>
      </c>
      <c r="F1015" s="6">
        <v>1</v>
      </c>
      <c r="G1015" s="6">
        <v>588</v>
      </c>
    </row>
    <row r="1016" s="2" customFormat="true" ht="22.5" customHeight="true" spans="1:7">
      <c r="A1016" s="6">
        <f>1014</f>
        <v>1014</v>
      </c>
      <c r="B1016" s="6" t="s">
        <v>1045</v>
      </c>
      <c r="C1016" s="6" t="s">
        <v>9</v>
      </c>
      <c r="D1016" s="6" t="s">
        <v>35</v>
      </c>
      <c r="E1016" s="6" t="s">
        <v>17</v>
      </c>
      <c r="F1016" s="6">
        <v>1</v>
      </c>
      <c r="G1016" s="6">
        <v>694</v>
      </c>
    </row>
    <row r="1017" s="2" customFormat="true" ht="22.5" customHeight="true" spans="1:7">
      <c r="A1017" s="6">
        <f>1015</f>
        <v>1015</v>
      </c>
      <c r="B1017" s="6" t="s">
        <v>1046</v>
      </c>
      <c r="C1017" s="6" t="s">
        <v>9</v>
      </c>
      <c r="D1017" s="6" t="s">
        <v>19</v>
      </c>
      <c r="E1017" s="6" t="s">
        <v>17</v>
      </c>
      <c r="F1017" s="6">
        <v>1</v>
      </c>
      <c r="G1017" s="6">
        <v>694</v>
      </c>
    </row>
    <row r="1018" s="2" customFormat="true" ht="22.5" customHeight="true" spans="1:7">
      <c r="A1018" s="6">
        <f>1016</f>
        <v>1016</v>
      </c>
      <c r="B1018" s="6" t="s">
        <v>1047</v>
      </c>
      <c r="C1018" s="6" t="s">
        <v>9</v>
      </c>
      <c r="D1018" s="6" t="s">
        <v>416</v>
      </c>
      <c r="E1018" s="6" t="s">
        <v>11</v>
      </c>
      <c r="F1018" s="6">
        <v>3</v>
      </c>
      <c r="G1018" s="6">
        <v>1791</v>
      </c>
    </row>
    <row r="1019" s="2" customFormat="true" ht="22.5" customHeight="true" spans="1:7">
      <c r="A1019" s="6">
        <f>1017</f>
        <v>1017</v>
      </c>
      <c r="B1019" s="6" t="s">
        <v>1048</v>
      </c>
      <c r="C1019" s="6" t="s">
        <v>15</v>
      </c>
      <c r="D1019" s="6" t="s">
        <v>13</v>
      </c>
      <c r="E1019" s="6" t="s">
        <v>17</v>
      </c>
      <c r="F1019" s="6">
        <v>2</v>
      </c>
      <c r="G1019" s="6">
        <v>1274</v>
      </c>
    </row>
    <row r="1020" s="2" customFormat="true" ht="22.5" customHeight="true" spans="1:7">
      <c r="A1020" s="6">
        <f>1018</f>
        <v>1018</v>
      </c>
      <c r="B1020" s="6" t="s">
        <v>1049</v>
      </c>
      <c r="C1020" s="6" t="s">
        <v>9</v>
      </c>
      <c r="D1020" s="6" t="s">
        <v>222</v>
      </c>
      <c r="E1020" s="6" t="s">
        <v>17</v>
      </c>
      <c r="F1020" s="6">
        <v>2</v>
      </c>
      <c r="G1020" s="6">
        <v>1242</v>
      </c>
    </row>
    <row r="1021" s="2" customFormat="true" ht="22.5" customHeight="true" spans="1:7">
      <c r="A1021" s="6">
        <f>1019</f>
        <v>1019</v>
      </c>
      <c r="B1021" s="6" t="s">
        <v>1050</v>
      </c>
      <c r="C1021" s="6" t="s">
        <v>15</v>
      </c>
      <c r="D1021" s="6" t="s">
        <v>138</v>
      </c>
      <c r="E1021" s="6" t="s">
        <v>11</v>
      </c>
      <c r="F1021" s="6">
        <v>1</v>
      </c>
      <c r="G1021" s="6">
        <v>606</v>
      </c>
    </row>
    <row r="1022" s="2" customFormat="true" ht="22.5" customHeight="true" spans="1:7">
      <c r="A1022" s="6">
        <f>1020</f>
        <v>1020</v>
      </c>
      <c r="B1022" s="6" t="s">
        <v>1051</v>
      </c>
      <c r="C1022" s="6" t="s">
        <v>9</v>
      </c>
      <c r="D1022" s="6" t="s">
        <v>149</v>
      </c>
      <c r="E1022" s="6" t="s">
        <v>17</v>
      </c>
      <c r="F1022" s="6">
        <v>2</v>
      </c>
      <c r="G1022" s="6">
        <v>1290</v>
      </c>
    </row>
    <row r="1023" s="2" customFormat="true" ht="22.5" customHeight="true" spans="1:7">
      <c r="A1023" s="6">
        <f>1021</f>
        <v>1021</v>
      </c>
      <c r="B1023" s="6" t="s">
        <v>1052</v>
      </c>
      <c r="C1023" s="6" t="s">
        <v>9</v>
      </c>
      <c r="D1023" s="6" t="s">
        <v>138</v>
      </c>
      <c r="E1023" s="6" t="s">
        <v>11</v>
      </c>
      <c r="F1023" s="6">
        <v>2</v>
      </c>
      <c r="G1023" s="6">
        <v>1212</v>
      </c>
    </row>
    <row r="1024" s="2" customFormat="true" ht="22.5" customHeight="true" spans="1:7">
      <c r="A1024" s="6">
        <f>1022</f>
        <v>1022</v>
      </c>
      <c r="B1024" s="6" t="s">
        <v>1053</v>
      </c>
      <c r="C1024" s="6" t="s">
        <v>9</v>
      </c>
      <c r="D1024" s="6" t="s">
        <v>280</v>
      </c>
      <c r="E1024" s="6" t="s">
        <v>17</v>
      </c>
      <c r="F1024" s="6">
        <v>2</v>
      </c>
      <c r="G1024" s="6">
        <v>1280</v>
      </c>
    </row>
    <row r="1025" s="2" customFormat="true" ht="22.5" customHeight="true" spans="1:7">
      <c r="A1025" s="6">
        <f>1023</f>
        <v>1023</v>
      </c>
      <c r="B1025" s="6" t="s">
        <v>1054</v>
      </c>
      <c r="C1025" s="6" t="s">
        <v>9</v>
      </c>
      <c r="D1025" s="6" t="s">
        <v>129</v>
      </c>
      <c r="E1025" s="6" t="s">
        <v>17</v>
      </c>
      <c r="F1025" s="6">
        <v>2</v>
      </c>
      <c r="G1025" s="6">
        <v>1272</v>
      </c>
    </row>
    <row r="1026" s="2" customFormat="true" ht="22.5" customHeight="true" spans="1:7">
      <c r="A1026" s="6">
        <f>1024</f>
        <v>1024</v>
      </c>
      <c r="B1026" s="6" t="s">
        <v>1055</v>
      </c>
      <c r="C1026" s="6" t="s">
        <v>9</v>
      </c>
      <c r="D1026" s="6" t="s">
        <v>270</v>
      </c>
      <c r="E1026" s="6" t="s">
        <v>17</v>
      </c>
      <c r="F1026" s="6">
        <v>1</v>
      </c>
      <c r="G1026" s="6">
        <v>694</v>
      </c>
    </row>
    <row r="1027" s="2" customFormat="true" ht="22.5" customHeight="true" spans="1:7">
      <c r="A1027" s="6">
        <f>1025</f>
        <v>1025</v>
      </c>
      <c r="B1027" s="6" t="s">
        <v>1056</v>
      </c>
      <c r="C1027" s="6" t="s">
        <v>9</v>
      </c>
      <c r="D1027" s="6" t="s">
        <v>146</v>
      </c>
      <c r="E1027" s="6" t="s">
        <v>11</v>
      </c>
      <c r="F1027" s="6">
        <v>2</v>
      </c>
      <c r="G1027" s="6">
        <v>1232</v>
      </c>
    </row>
    <row r="1028" s="2" customFormat="true" ht="22.5" customHeight="true" spans="1:7">
      <c r="A1028" s="6">
        <f>1026</f>
        <v>1026</v>
      </c>
      <c r="B1028" s="6" t="s">
        <v>1057</v>
      </c>
      <c r="C1028" s="6" t="s">
        <v>9</v>
      </c>
      <c r="D1028" s="6" t="s">
        <v>270</v>
      </c>
      <c r="E1028" s="6" t="s">
        <v>17</v>
      </c>
      <c r="F1028" s="6">
        <v>2</v>
      </c>
      <c r="G1028" s="6">
        <v>1223</v>
      </c>
    </row>
    <row r="1029" s="2" customFormat="true" ht="22.5" customHeight="true" spans="1:7">
      <c r="A1029" s="6">
        <f>1027</f>
        <v>1027</v>
      </c>
      <c r="B1029" s="6" t="s">
        <v>1058</v>
      </c>
      <c r="C1029" s="6" t="s">
        <v>9</v>
      </c>
      <c r="D1029" s="6" t="s">
        <v>230</v>
      </c>
      <c r="E1029" s="6" t="s">
        <v>17</v>
      </c>
      <c r="F1029" s="6">
        <v>1</v>
      </c>
      <c r="G1029" s="6">
        <v>646</v>
      </c>
    </row>
    <row r="1030" s="2" customFormat="true" ht="22.5" customHeight="true" spans="1:7">
      <c r="A1030" s="6">
        <f>1028</f>
        <v>1028</v>
      </c>
      <c r="B1030" s="6" t="s">
        <v>1059</v>
      </c>
      <c r="C1030" s="6" t="s">
        <v>9</v>
      </c>
      <c r="D1030" s="6" t="s">
        <v>260</v>
      </c>
      <c r="E1030" s="6" t="s">
        <v>17</v>
      </c>
      <c r="F1030" s="6">
        <v>2</v>
      </c>
      <c r="G1030" s="6">
        <v>1155</v>
      </c>
    </row>
    <row r="1031" s="2" customFormat="true" ht="22.5" customHeight="true" spans="1:7">
      <c r="A1031" s="6">
        <f>1029</f>
        <v>1029</v>
      </c>
      <c r="B1031" s="6" t="s">
        <v>1060</v>
      </c>
      <c r="C1031" s="6" t="s">
        <v>9</v>
      </c>
      <c r="D1031" s="6" t="s">
        <v>230</v>
      </c>
      <c r="E1031" s="6" t="s">
        <v>11</v>
      </c>
      <c r="F1031" s="6">
        <v>1</v>
      </c>
      <c r="G1031" s="6">
        <v>549</v>
      </c>
    </row>
    <row r="1032" s="2" customFormat="true" ht="22.5" customHeight="true" spans="1:7">
      <c r="A1032" s="6">
        <f>1030</f>
        <v>1030</v>
      </c>
      <c r="B1032" s="6" t="s">
        <v>1061</v>
      </c>
      <c r="C1032" s="6" t="s">
        <v>9</v>
      </c>
      <c r="D1032" s="6" t="s">
        <v>146</v>
      </c>
      <c r="E1032" s="6" t="s">
        <v>17</v>
      </c>
      <c r="F1032" s="6">
        <v>1</v>
      </c>
      <c r="G1032" s="6">
        <v>626</v>
      </c>
    </row>
    <row r="1033" s="2" customFormat="true" ht="22.5" customHeight="true" spans="1:7">
      <c r="A1033" s="6">
        <f>1031</f>
        <v>1031</v>
      </c>
      <c r="B1033" s="6" t="s">
        <v>1062</v>
      </c>
      <c r="C1033" s="6" t="s">
        <v>15</v>
      </c>
      <c r="D1033" s="6" t="s">
        <v>13</v>
      </c>
      <c r="E1033" s="6" t="s">
        <v>17</v>
      </c>
      <c r="F1033" s="6">
        <v>1</v>
      </c>
      <c r="G1033" s="6">
        <v>656</v>
      </c>
    </row>
    <row r="1034" s="2" customFormat="true" ht="22.5" customHeight="true" spans="1:7">
      <c r="A1034" s="6">
        <f>1032</f>
        <v>1032</v>
      </c>
      <c r="B1034" s="6" t="s">
        <v>1063</v>
      </c>
      <c r="C1034" s="6" t="s">
        <v>9</v>
      </c>
      <c r="D1034" s="6" t="s">
        <v>260</v>
      </c>
      <c r="E1034" s="6" t="s">
        <v>17</v>
      </c>
      <c r="F1034" s="6">
        <v>2</v>
      </c>
      <c r="G1034" s="6">
        <v>1196</v>
      </c>
    </row>
    <row r="1035" s="2" customFormat="true" ht="22.5" customHeight="true" spans="1:7">
      <c r="A1035" s="6">
        <f>1033</f>
        <v>1033</v>
      </c>
      <c r="B1035" s="6" t="s">
        <v>1064</v>
      </c>
      <c r="C1035" s="6" t="s">
        <v>9</v>
      </c>
      <c r="D1035" s="6" t="s">
        <v>129</v>
      </c>
      <c r="E1035" s="6" t="s">
        <v>79</v>
      </c>
      <c r="F1035" s="6">
        <v>2</v>
      </c>
      <c r="G1035" s="6">
        <v>1204</v>
      </c>
    </row>
    <row r="1036" s="2" customFormat="true" ht="22.5" customHeight="true" spans="1:7">
      <c r="A1036" s="6">
        <f>1034</f>
        <v>1034</v>
      </c>
      <c r="B1036" s="6" t="s">
        <v>1065</v>
      </c>
      <c r="C1036" s="6" t="s">
        <v>9</v>
      </c>
      <c r="D1036" s="6" t="s">
        <v>230</v>
      </c>
      <c r="E1036" s="6" t="s">
        <v>17</v>
      </c>
      <c r="F1036" s="6">
        <v>2</v>
      </c>
      <c r="G1036" s="6">
        <v>1202</v>
      </c>
    </row>
    <row r="1037" s="2" customFormat="true" ht="22.5" customHeight="true" spans="1:7">
      <c r="A1037" s="6">
        <f>1035</f>
        <v>1035</v>
      </c>
      <c r="B1037" s="6" t="s">
        <v>1066</v>
      </c>
      <c r="C1037" s="6" t="s">
        <v>9</v>
      </c>
      <c r="D1037" s="6" t="s">
        <v>260</v>
      </c>
      <c r="E1037" s="6" t="s">
        <v>11</v>
      </c>
      <c r="F1037" s="6">
        <v>2</v>
      </c>
      <c r="G1037" s="6">
        <v>980</v>
      </c>
    </row>
    <row r="1038" s="2" customFormat="true" ht="22.5" customHeight="true" spans="1:7">
      <c r="A1038" s="6">
        <f>1036</f>
        <v>1036</v>
      </c>
      <c r="B1038" s="6" t="s">
        <v>1067</v>
      </c>
      <c r="C1038" s="6" t="s">
        <v>9</v>
      </c>
      <c r="D1038" s="6" t="s">
        <v>143</v>
      </c>
      <c r="E1038" s="6" t="s">
        <v>79</v>
      </c>
      <c r="F1038" s="6">
        <v>1</v>
      </c>
      <c r="G1038" s="6">
        <v>401</v>
      </c>
    </row>
    <row r="1039" s="2" customFormat="true" ht="22.5" customHeight="true" spans="1:7">
      <c r="A1039" s="6">
        <f>1037</f>
        <v>1037</v>
      </c>
      <c r="B1039" s="6" t="s">
        <v>1068</v>
      </c>
      <c r="C1039" s="6" t="s">
        <v>9</v>
      </c>
      <c r="D1039" s="6" t="s">
        <v>146</v>
      </c>
      <c r="E1039" s="6" t="s">
        <v>79</v>
      </c>
      <c r="F1039" s="6">
        <v>2</v>
      </c>
      <c r="G1039" s="6">
        <v>822</v>
      </c>
    </row>
    <row r="1040" s="2" customFormat="true" ht="22.5" customHeight="true" spans="1:7">
      <c r="A1040" s="6">
        <f>1038</f>
        <v>1038</v>
      </c>
      <c r="B1040" s="6" t="s">
        <v>1069</v>
      </c>
      <c r="C1040" s="6" t="s">
        <v>15</v>
      </c>
      <c r="D1040" s="6" t="s">
        <v>67</v>
      </c>
      <c r="E1040" s="6" t="s">
        <v>17</v>
      </c>
      <c r="F1040" s="6">
        <v>1</v>
      </c>
      <c r="G1040" s="6">
        <v>706</v>
      </c>
    </row>
    <row r="1041" s="2" customFormat="true" ht="22.5" customHeight="true" spans="1:7">
      <c r="A1041" s="6">
        <f>1039</f>
        <v>1039</v>
      </c>
      <c r="B1041" s="6" t="s">
        <v>1070</v>
      </c>
      <c r="C1041" s="6" t="s">
        <v>9</v>
      </c>
      <c r="D1041" s="6" t="s">
        <v>146</v>
      </c>
      <c r="E1041" s="6" t="s">
        <v>17</v>
      </c>
      <c r="F1041" s="6">
        <v>2</v>
      </c>
      <c r="G1041" s="6">
        <v>1025</v>
      </c>
    </row>
    <row r="1042" s="2" customFormat="true" ht="22.5" customHeight="true" spans="1:7">
      <c r="A1042" s="6">
        <f>1040</f>
        <v>1040</v>
      </c>
      <c r="B1042" s="6" t="s">
        <v>1071</v>
      </c>
      <c r="C1042" s="6" t="s">
        <v>9</v>
      </c>
      <c r="D1042" s="6" t="s">
        <v>129</v>
      </c>
      <c r="E1042" s="6" t="s">
        <v>79</v>
      </c>
      <c r="F1042" s="6">
        <v>2</v>
      </c>
      <c r="G1042" s="6">
        <v>782</v>
      </c>
    </row>
    <row r="1043" s="2" customFormat="true" ht="22.5" customHeight="true" spans="1:7">
      <c r="A1043" s="6">
        <f>1041</f>
        <v>1041</v>
      </c>
      <c r="B1043" s="6" t="s">
        <v>1072</v>
      </c>
      <c r="C1043" s="6" t="s">
        <v>9</v>
      </c>
      <c r="D1043" s="6" t="s">
        <v>222</v>
      </c>
      <c r="E1043" s="6" t="s">
        <v>17</v>
      </c>
      <c r="F1043" s="6">
        <v>2</v>
      </c>
      <c r="G1043" s="6">
        <v>1057</v>
      </c>
    </row>
    <row r="1044" s="2" customFormat="true" ht="22.5" customHeight="true" spans="1:7">
      <c r="A1044" s="6">
        <f>1042</f>
        <v>1042</v>
      </c>
      <c r="B1044" s="6" t="s">
        <v>1073</v>
      </c>
      <c r="C1044" s="6" t="s">
        <v>15</v>
      </c>
      <c r="D1044" s="6" t="s">
        <v>146</v>
      </c>
      <c r="E1044" s="6" t="s">
        <v>11</v>
      </c>
      <c r="F1044" s="6">
        <v>2</v>
      </c>
      <c r="G1044" s="6">
        <v>1027</v>
      </c>
    </row>
    <row r="1045" s="2" customFormat="true" ht="22.5" customHeight="true" spans="1:7">
      <c r="A1045" s="6">
        <f>1043</f>
        <v>1043</v>
      </c>
      <c r="B1045" s="6" t="s">
        <v>1074</v>
      </c>
      <c r="C1045" s="6" t="s">
        <v>15</v>
      </c>
      <c r="D1045" s="6" t="s">
        <v>67</v>
      </c>
      <c r="E1045" s="6" t="s">
        <v>11</v>
      </c>
      <c r="F1045" s="6">
        <v>2</v>
      </c>
      <c r="G1045" s="6">
        <v>1007</v>
      </c>
    </row>
    <row r="1046" s="2" customFormat="true" ht="22.5" customHeight="true" spans="1:7">
      <c r="A1046" s="6">
        <f>1044</f>
        <v>1044</v>
      </c>
      <c r="B1046" s="6" t="s">
        <v>1075</v>
      </c>
      <c r="C1046" s="6" t="s">
        <v>9</v>
      </c>
      <c r="D1046" s="6" t="s">
        <v>209</v>
      </c>
      <c r="E1046" s="6" t="s">
        <v>17</v>
      </c>
      <c r="F1046" s="6">
        <v>1</v>
      </c>
      <c r="G1046" s="6">
        <v>706</v>
      </c>
    </row>
    <row r="1047" s="2" customFormat="true" ht="22.5" customHeight="true" spans="1:7">
      <c r="A1047" s="6">
        <f>1045</f>
        <v>1045</v>
      </c>
      <c r="B1047" s="6" t="s">
        <v>1076</v>
      </c>
      <c r="C1047" s="6" t="s">
        <v>15</v>
      </c>
      <c r="D1047" s="6" t="s">
        <v>209</v>
      </c>
      <c r="E1047" s="6" t="s">
        <v>17</v>
      </c>
      <c r="F1047" s="6">
        <v>1</v>
      </c>
      <c r="G1047" s="6">
        <v>654</v>
      </c>
    </row>
    <row r="1048" s="2" customFormat="true" ht="22.5" customHeight="true" spans="1:7">
      <c r="A1048" s="6">
        <f>1046</f>
        <v>1046</v>
      </c>
      <c r="B1048" s="6" t="s">
        <v>1077</v>
      </c>
      <c r="C1048" s="6" t="s">
        <v>9</v>
      </c>
      <c r="D1048" s="6" t="s">
        <v>133</v>
      </c>
      <c r="E1048" s="6" t="s">
        <v>17</v>
      </c>
      <c r="F1048" s="6">
        <v>1</v>
      </c>
      <c r="G1048" s="6">
        <v>660</v>
      </c>
    </row>
    <row r="1049" s="2" customFormat="true" ht="22.5" customHeight="true" spans="1:7">
      <c r="A1049" s="6">
        <f>1047</f>
        <v>1047</v>
      </c>
      <c r="B1049" s="6" t="s">
        <v>1078</v>
      </c>
      <c r="C1049" s="6" t="s">
        <v>15</v>
      </c>
      <c r="D1049" s="6" t="s">
        <v>138</v>
      </c>
      <c r="E1049" s="6" t="s">
        <v>17</v>
      </c>
      <c r="F1049" s="6">
        <v>1</v>
      </c>
      <c r="G1049" s="6">
        <v>654</v>
      </c>
    </row>
    <row r="1050" s="2" customFormat="true" ht="22.5" customHeight="true" spans="1:7">
      <c r="A1050" s="6">
        <f>1048</f>
        <v>1048</v>
      </c>
      <c r="B1050" s="6" t="s">
        <v>1079</v>
      </c>
      <c r="C1050" s="6" t="s">
        <v>15</v>
      </c>
      <c r="D1050" s="6" t="s">
        <v>49</v>
      </c>
      <c r="E1050" s="6" t="s">
        <v>17</v>
      </c>
      <c r="F1050" s="6">
        <v>1</v>
      </c>
      <c r="G1050" s="6">
        <v>694</v>
      </c>
    </row>
    <row r="1051" s="2" customFormat="true" ht="22.5" customHeight="true" spans="1:7">
      <c r="A1051" s="6">
        <f>1049</f>
        <v>1049</v>
      </c>
      <c r="B1051" s="6" t="s">
        <v>1080</v>
      </c>
      <c r="C1051" s="6" t="s">
        <v>9</v>
      </c>
      <c r="D1051" s="6" t="s">
        <v>270</v>
      </c>
      <c r="E1051" s="6" t="s">
        <v>17</v>
      </c>
      <c r="F1051" s="6">
        <v>4</v>
      </c>
      <c r="G1051" s="6">
        <v>2446</v>
      </c>
    </row>
    <row r="1052" s="2" customFormat="true" ht="22.5" customHeight="true" spans="1:7">
      <c r="A1052" s="6">
        <f>1050</f>
        <v>1050</v>
      </c>
      <c r="B1052" s="6" t="s">
        <v>1081</v>
      </c>
      <c r="C1052" s="6" t="s">
        <v>9</v>
      </c>
      <c r="D1052" s="6" t="s">
        <v>49</v>
      </c>
      <c r="E1052" s="6" t="s">
        <v>17</v>
      </c>
      <c r="F1052" s="6">
        <v>1</v>
      </c>
      <c r="G1052" s="6">
        <v>654</v>
      </c>
    </row>
    <row r="1053" s="2" customFormat="true" ht="22.5" customHeight="true" spans="1:7">
      <c r="A1053" s="6">
        <f>1051</f>
        <v>1051</v>
      </c>
      <c r="B1053" s="6" t="s">
        <v>1082</v>
      </c>
      <c r="C1053" s="6" t="s">
        <v>9</v>
      </c>
      <c r="D1053" s="6" t="s">
        <v>149</v>
      </c>
      <c r="E1053" s="6" t="s">
        <v>17</v>
      </c>
      <c r="F1053" s="6">
        <v>1</v>
      </c>
      <c r="G1053" s="6">
        <v>654</v>
      </c>
    </row>
    <row r="1054" s="2" customFormat="true" ht="22.5" customHeight="true" spans="1:7">
      <c r="A1054" s="6">
        <f>1052</f>
        <v>1052</v>
      </c>
      <c r="B1054" s="6" t="s">
        <v>1083</v>
      </c>
      <c r="C1054" s="6" t="s">
        <v>9</v>
      </c>
      <c r="D1054" s="6" t="s">
        <v>146</v>
      </c>
      <c r="E1054" s="6" t="s">
        <v>17</v>
      </c>
      <c r="F1054" s="6">
        <v>3</v>
      </c>
      <c r="G1054" s="6">
        <v>1609</v>
      </c>
    </row>
    <row r="1055" s="2" customFormat="true" ht="22.5" customHeight="true" spans="1:7">
      <c r="A1055" s="6">
        <f>1053</f>
        <v>1053</v>
      </c>
      <c r="B1055" s="6" t="s">
        <v>1084</v>
      </c>
      <c r="C1055" s="6" t="s">
        <v>15</v>
      </c>
      <c r="D1055" s="6" t="s">
        <v>270</v>
      </c>
      <c r="E1055" s="6" t="s">
        <v>17</v>
      </c>
      <c r="F1055" s="6">
        <v>1</v>
      </c>
      <c r="G1055" s="6">
        <v>624</v>
      </c>
    </row>
    <row r="1056" s="2" customFormat="true" ht="22.5" customHeight="true" spans="1:7">
      <c r="A1056" s="6">
        <f>1054</f>
        <v>1054</v>
      </c>
      <c r="B1056" s="6" t="s">
        <v>1085</v>
      </c>
      <c r="C1056" s="6" t="s">
        <v>9</v>
      </c>
      <c r="D1056" s="6" t="s">
        <v>188</v>
      </c>
      <c r="E1056" s="6" t="s">
        <v>11</v>
      </c>
      <c r="F1056" s="6">
        <v>2</v>
      </c>
      <c r="G1056" s="6">
        <v>1098</v>
      </c>
    </row>
    <row r="1057" s="2" customFormat="true" ht="22.5" customHeight="true" spans="1:7">
      <c r="A1057" s="6">
        <f>1055</f>
        <v>1055</v>
      </c>
      <c r="B1057" s="6" t="s">
        <v>1086</v>
      </c>
      <c r="C1057" s="6" t="s">
        <v>9</v>
      </c>
      <c r="D1057" s="6" t="s">
        <v>180</v>
      </c>
      <c r="E1057" s="6" t="s">
        <v>17</v>
      </c>
      <c r="F1057" s="6">
        <v>2</v>
      </c>
      <c r="G1057" s="6">
        <v>1267</v>
      </c>
    </row>
    <row r="1058" s="2" customFormat="true" ht="22.5" customHeight="true" spans="1:7">
      <c r="A1058" s="6">
        <f>1056</f>
        <v>1056</v>
      </c>
      <c r="B1058" s="6" t="s">
        <v>1087</v>
      </c>
      <c r="C1058" s="6" t="s">
        <v>9</v>
      </c>
      <c r="D1058" s="6" t="s">
        <v>270</v>
      </c>
      <c r="E1058" s="6" t="s">
        <v>17</v>
      </c>
      <c r="F1058" s="6">
        <v>4</v>
      </c>
      <c r="G1058" s="6">
        <v>2066</v>
      </c>
    </row>
    <row r="1059" s="2" customFormat="true" ht="22.5" customHeight="true" spans="1:7">
      <c r="A1059" s="6">
        <f>1057</f>
        <v>1057</v>
      </c>
      <c r="B1059" s="6" t="s">
        <v>1088</v>
      </c>
      <c r="C1059" s="6" t="s">
        <v>15</v>
      </c>
      <c r="D1059" s="6" t="s">
        <v>10</v>
      </c>
      <c r="E1059" s="6" t="s">
        <v>11</v>
      </c>
      <c r="F1059" s="6">
        <v>2</v>
      </c>
      <c r="G1059" s="6">
        <v>981</v>
      </c>
    </row>
    <row r="1060" s="2" customFormat="true" ht="22.5" customHeight="true" spans="1:7">
      <c r="A1060" s="6">
        <f>1058</f>
        <v>1058</v>
      </c>
      <c r="B1060" s="6" t="s">
        <v>1089</v>
      </c>
      <c r="C1060" s="6" t="s">
        <v>9</v>
      </c>
      <c r="D1060" s="6" t="s">
        <v>188</v>
      </c>
      <c r="E1060" s="6" t="s">
        <v>17</v>
      </c>
      <c r="F1060" s="6">
        <v>4</v>
      </c>
      <c r="G1060" s="6">
        <v>2337</v>
      </c>
    </row>
    <row r="1061" s="2" customFormat="true" ht="22.5" customHeight="true" spans="1:7">
      <c r="A1061" s="6">
        <f>1059</f>
        <v>1059</v>
      </c>
      <c r="B1061" s="6" t="s">
        <v>1090</v>
      </c>
      <c r="C1061" s="6" t="s">
        <v>9</v>
      </c>
      <c r="D1061" s="6" t="s">
        <v>131</v>
      </c>
      <c r="E1061" s="6" t="s">
        <v>17</v>
      </c>
      <c r="F1061" s="6">
        <v>1</v>
      </c>
      <c r="G1061" s="6">
        <v>714</v>
      </c>
    </row>
    <row r="1062" s="2" customFormat="true" ht="22.5" customHeight="true" spans="1:7">
      <c r="A1062" s="6">
        <f>1060</f>
        <v>1060</v>
      </c>
      <c r="B1062" s="6" t="s">
        <v>1091</v>
      </c>
      <c r="C1062" s="6" t="s">
        <v>9</v>
      </c>
      <c r="D1062" s="6" t="s">
        <v>230</v>
      </c>
      <c r="E1062" s="6" t="s">
        <v>17</v>
      </c>
      <c r="F1062" s="6">
        <v>2</v>
      </c>
      <c r="G1062" s="6">
        <v>1290</v>
      </c>
    </row>
    <row r="1063" s="2" customFormat="true" ht="22.5" customHeight="true" spans="1:7">
      <c r="A1063" s="6">
        <f>1061</f>
        <v>1061</v>
      </c>
      <c r="B1063" s="6" t="s">
        <v>1092</v>
      </c>
      <c r="C1063" s="6" t="s">
        <v>9</v>
      </c>
      <c r="D1063" s="6" t="s">
        <v>188</v>
      </c>
      <c r="E1063" s="6" t="s">
        <v>11</v>
      </c>
      <c r="F1063" s="6">
        <v>2</v>
      </c>
      <c r="G1063" s="6">
        <v>1205</v>
      </c>
    </row>
    <row r="1064" s="2" customFormat="true" ht="22.5" customHeight="true" spans="1:7">
      <c r="A1064" s="6">
        <f>1062</f>
        <v>1062</v>
      </c>
      <c r="B1064" s="6" t="s">
        <v>1093</v>
      </c>
      <c r="C1064" s="6" t="s">
        <v>9</v>
      </c>
      <c r="D1064" s="6" t="s">
        <v>188</v>
      </c>
      <c r="E1064" s="6" t="s">
        <v>17</v>
      </c>
      <c r="F1064" s="6">
        <v>1</v>
      </c>
      <c r="G1064" s="6">
        <v>694</v>
      </c>
    </row>
    <row r="1065" s="2" customFormat="true" ht="22.5" customHeight="true" spans="1:7">
      <c r="A1065" s="6">
        <f>1063</f>
        <v>1063</v>
      </c>
      <c r="B1065" s="6" t="s">
        <v>1094</v>
      </c>
      <c r="C1065" s="6" t="s">
        <v>15</v>
      </c>
      <c r="D1065" s="6" t="s">
        <v>131</v>
      </c>
      <c r="E1065" s="6" t="s">
        <v>17</v>
      </c>
      <c r="F1065" s="6">
        <v>1</v>
      </c>
      <c r="G1065" s="6">
        <v>744</v>
      </c>
    </row>
    <row r="1066" s="2" customFormat="true" ht="22.5" customHeight="true" spans="1:7">
      <c r="A1066" s="6">
        <f>1064</f>
        <v>1064</v>
      </c>
      <c r="B1066" s="6" t="s">
        <v>1095</v>
      </c>
      <c r="C1066" s="6" t="s">
        <v>15</v>
      </c>
      <c r="D1066" s="6" t="s">
        <v>188</v>
      </c>
      <c r="E1066" s="6" t="s">
        <v>17</v>
      </c>
      <c r="F1066" s="6">
        <v>1</v>
      </c>
      <c r="G1066" s="6">
        <v>740</v>
      </c>
    </row>
    <row r="1067" s="2" customFormat="true" ht="22.5" customHeight="true" spans="1:7">
      <c r="A1067" s="6">
        <f>1065</f>
        <v>1065</v>
      </c>
      <c r="B1067" s="6" t="s">
        <v>1096</v>
      </c>
      <c r="C1067" s="6" t="s">
        <v>9</v>
      </c>
      <c r="D1067" s="6" t="s">
        <v>182</v>
      </c>
      <c r="E1067" s="6" t="s">
        <v>11</v>
      </c>
      <c r="F1067" s="6">
        <v>5</v>
      </c>
      <c r="G1067" s="6">
        <v>2970</v>
      </c>
    </row>
    <row r="1068" s="2" customFormat="true" ht="22.5" customHeight="true" spans="1:7">
      <c r="A1068" s="6">
        <f>1066</f>
        <v>1066</v>
      </c>
      <c r="B1068" s="6" t="s">
        <v>1097</v>
      </c>
      <c r="C1068" s="6" t="s">
        <v>9</v>
      </c>
      <c r="D1068" s="6" t="s">
        <v>416</v>
      </c>
      <c r="E1068" s="6" t="s">
        <v>17</v>
      </c>
      <c r="F1068" s="6">
        <v>1</v>
      </c>
      <c r="G1068" s="6">
        <v>694</v>
      </c>
    </row>
    <row r="1069" s="2" customFormat="true" ht="22.5" customHeight="true" spans="1:7">
      <c r="A1069" s="6">
        <f>1067</f>
        <v>1067</v>
      </c>
      <c r="B1069" s="6" t="s">
        <v>1098</v>
      </c>
      <c r="C1069" s="6" t="s">
        <v>9</v>
      </c>
      <c r="D1069" s="6" t="s">
        <v>270</v>
      </c>
      <c r="E1069" s="6" t="s">
        <v>17</v>
      </c>
      <c r="F1069" s="6">
        <v>4</v>
      </c>
      <c r="G1069" s="6">
        <v>1992</v>
      </c>
    </row>
    <row r="1070" s="2" customFormat="true" ht="22.5" customHeight="true" spans="1:7">
      <c r="A1070" s="6">
        <f>1068</f>
        <v>1068</v>
      </c>
      <c r="B1070" s="6" t="s">
        <v>1099</v>
      </c>
      <c r="C1070" s="6" t="s">
        <v>15</v>
      </c>
      <c r="D1070" s="6" t="s">
        <v>149</v>
      </c>
      <c r="E1070" s="6" t="s">
        <v>11</v>
      </c>
      <c r="F1070" s="6">
        <v>1</v>
      </c>
      <c r="G1070" s="6">
        <v>676</v>
      </c>
    </row>
    <row r="1071" s="2" customFormat="true" ht="22.5" customHeight="true" spans="1:7">
      <c r="A1071" s="6">
        <f>1069</f>
        <v>1069</v>
      </c>
      <c r="B1071" s="6" t="s">
        <v>1100</v>
      </c>
      <c r="C1071" s="6" t="s">
        <v>9</v>
      </c>
      <c r="D1071" s="6" t="s">
        <v>416</v>
      </c>
      <c r="E1071" s="6" t="s">
        <v>11</v>
      </c>
      <c r="F1071" s="6">
        <v>1</v>
      </c>
      <c r="G1071" s="6">
        <v>606</v>
      </c>
    </row>
    <row r="1072" s="2" customFormat="true" ht="22.5" customHeight="true" spans="1:7">
      <c r="A1072" s="6">
        <f>1070</f>
        <v>1070</v>
      </c>
      <c r="B1072" s="6" t="s">
        <v>1101</v>
      </c>
      <c r="C1072" s="6" t="s">
        <v>9</v>
      </c>
      <c r="D1072" s="6" t="s">
        <v>159</v>
      </c>
      <c r="E1072" s="6" t="s">
        <v>11</v>
      </c>
      <c r="F1072" s="6">
        <v>1</v>
      </c>
      <c r="G1072" s="6">
        <v>631</v>
      </c>
    </row>
    <row r="1073" s="2" customFormat="true" ht="22.5" customHeight="true" spans="1:7">
      <c r="A1073" s="6">
        <f>1071</f>
        <v>1071</v>
      </c>
      <c r="B1073" s="6" t="s">
        <v>1102</v>
      </c>
      <c r="C1073" s="6" t="s">
        <v>15</v>
      </c>
      <c r="D1073" s="6" t="s">
        <v>185</v>
      </c>
      <c r="E1073" s="6" t="s">
        <v>17</v>
      </c>
      <c r="F1073" s="6">
        <v>1</v>
      </c>
      <c r="G1073" s="6">
        <v>694</v>
      </c>
    </row>
    <row r="1074" s="2" customFormat="true" ht="22.5" customHeight="true" spans="1:7">
      <c r="A1074" s="6">
        <f>1072</f>
        <v>1072</v>
      </c>
      <c r="B1074" s="6" t="s">
        <v>1103</v>
      </c>
      <c r="C1074" s="6" t="s">
        <v>9</v>
      </c>
      <c r="D1074" s="6" t="s">
        <v>416</v>
      </c>
      <c r="E1074" s="6" t="s">
        <v>11</v>
      </c>
      <c r="F1074" s="6">
        <v>1</v>
      </c>
      <c r="G1074" s="6">
        <v>676</v>
      </c>
    </row>
    <row r="1075" s="2" customFormat="true" ht="22.5" customHeight="true" spans="1:7">
      <c r="A1075" s="6">
        <f>1073</f>
        <v>1073</v>
      </c>
      <c r="B1075" s="6" t="s">
        <v>1104</v>
      </c>
      <c r="C1075" s="6" t="s">
        <v>9</v>
      </c>
      <c r="D1075" s="6" t="s">
        <v>169</v>
      </c>
      <c r="E1075" s="6" t="s">
        <v>11</v>
      </c>
      <c r="F1075" s="6">
        <v>2</v>
      </c>
      <c r="G1075" s="6">
        <v>1395</v>
      </c>
    </row>
    <row r="1076" s="2" customFormat="true" ht="22.5" customHeight="true" spans="1:7">
      <c r="A1076" s="6">
        <f>1074</f>
        <v>1074</v>
      </c>
      <c r="B1076" s="6" t="s">
        <v>1105</v>
      </c>
      <c r="C1076" s="6" t="s">
        <v>9</v>
      </c>
      <c r="D1076" s="6" t="s">
        <v>239</v>
      </c>
      <c r="E1076" s="6" t="s">
        <v>17</v>
      </c>
      <c r="F1076" s="6">
        <v>2</v>
      </c>
      <c r="G1076" s="6">
        <v>1262</v>
      </c>
    </row>
    <row r="1077" s="2" customFormat="true" ht="22.5" customHeight="true" spans="1:7">
      <c r="A1077" s="6">
        <f>1075</f>
        <v>1075</v>
      </c>
      <c r="B1077" s="6" t="s">
        <v>1106</v>
      </c>
      <c r="C1077" s="6" t="s">
        <v>9</v>
      </c>
      <c r="D1077" s="6" t="s">
        <v>149</v>
      </c>
      <c r="E1077" s="6" t="s">
        <v>11</v>
      </c>
      <c r="F1077" s="6">
        <v>1</v>
      </c>
      <c r="G1077" s="6">
        <v>616</v>
      </c>
    </row>
    <row r="1078" s="2" customFormat="true" ht="22.5" customHeight="true" spans="1:7">
      <c r="A1078" s="6">
        <f>1076</f>
        <v>1076</v>
      </c>
      <c r="B1078" s="6" t="s">
        <v>1107</v>
      </c>
      <c r="C1078" s="6" t="s">
        <v>15</v>
      </c>
      <c r="D1078" s="6" t="s">
        <v>133</v>
      </c>
      <c r="E1078" s="6" t="s">
        <v>17</v>
      </c>
      <c r="F1078" s="6">
        <v>1</v>
      </c>
      <c r="G1078" s="6">
        <v>649</v>
      </c>
    </row>
    <row r="1079" s="2" customFormat="true" ht="22.5" customHeight="true" spans="1:7">
      <c r="A1079" s="6">
        <f>1077</f>
        <v>1077</v>
      </c>
      <c r="B1079" s="6" t="s">
        <v>1108</v>
      </c>
      <c r="C1079" s="6" t="s">
        <v>15</v>
      </c>
      <c r="D1079" s="6" t="s">
        <v>270</v>
      </c>
      <c r="E1079" s="6" t="s">
        <v>11</v>
      </c>
      <c r="F1079" s="6">
        <v>1</v>
      </c>
      <c r="G1079" s="6">
        <v>579</v>
      </c>
    </row>
    <row r="1080" s="2" customFormat="true" ht="22.5" customHeight="true" spans="1:7">
      <c r="A1080" s="6">
        <f>1078</f>
        <v>1078</v>
      </c>
      <c r="B1080" s="6" t="s">
        <v>1109</v>
      </c>
      <c r="C1080" s="6" t="s">
        <v>9</v>
      </c>
      <c r="D1080" s="6" t="s">
        <v>239</v>
      </c>
      <c r="E1080" s="6" t="s">
        <v>17</v>
      </c>
      <c r="F1080" s="6">
        <v>1</v>
      </c>
      <c r="G1080" s="6">
        <v>650</v>
      </c>
    </row>
    <row r="1081" s="2" customFormat="true" ht="22.5" customHeight="true" spans="1:7">
      <c r="A1081" s="6">
        <f>1079</f>
        <v>1079</v>
      </c>
      <c r="B1081" s="6" t="s">
        <v>1110</v>
      </c>
      <c r="C1081" s="6" t="s">
        <v>9</v>
      </c>
      <c r="D1081" s="6" t="s">
        <v>169</v>
      </c>
      <c r="E1081" s="6" t="s">
        <v>17</v>
      </c>
      <c r="F1081" s="6">
        <v>2</v>
      </c>
      <c r="G1081" s="6">
        <v>1136</v>
      </c>
    </row>
    <row r="1082" s="2" customFormat="true" ht="22.5" customHeight="true" spans="1:7">
      <c r="A1082" s="6">
        <f>1080</f>
        <v>1080</v>
      </c>
      <c r="B1082" s="6" t="s">
        <v>1111</v>
      </c>
      <c r="C1082" s="6" t="s">
        <v>9</v>
      </c>
      <c r="D1082" s="6" t="s">
        <v>416</v>
      </c>
      <c r="E1082" s="6" t="s">
        <v>11</v>
      </c>
      <c r="F1082" s="6">
        <v>2</v>
      </c>
      <c r="G1082" s="6">
        <v>1004</v>
      </c>
    </row>
    <row r="1083" s="2" customFormat="true" ht="22.5" customHeight="true" spans="1:7">
      <c r="A1083" s="6">
        <f>1081</f>
        <v>1081</v>
      </c>
      <c r="B1083" s="6" t="s">
        <v>1112</v>
      </c>
      <c r="C1083" s="6" t="s">
        <v>15</v>
      </c>
      <c r="D1083" s="6" t="s">
        <v>149</v>
      </c>
      <c r="E1083" s="6" t="s">
        <v>11</v>
      </c>
      <c r="F1083" s="6">
        <v>1</v>
      </c>
      <c r="G1083" s="6">
        <v>485</v>
      </c>
    </row>
    <row r="1084" s="2" customFormat="true" ht="22.5" customHeight="true" spans="1:7">
      <c r="A1084" s="6">
        <f>1082</f>
        <v>1082</v>
      </c>
      <c r="B1084" s="6" t="s">
        <v>1113</v>
      </c>
      <c r="C1084" s="6" t="s">
        <v>9</v>
      </c>
      <c r="D1084" s="6" t="s">
        <v>167</v>
      </c>
      <c r="E1084" s="6" t="s">
        <v>17</v>
      </c>
      <c r="F1084" s="6">
        <v>2</v>
      </c>
      <c r="G1084" s="6">
        <v>1390</v>
      </c>
    </row>
    <row r="1085" s="2" customFormat="true" ht="22.5" customHeight="true" spans="1:7">
      <c r="A1085" s="6">
        <f>1083</f>
        <v>1083</v>
      </c>
      <c r="B1085" s="6" t="s">
        <v>1114</v>
      </c>
      <c r="C1085" s="6" t="s">
        <v>9</v>
      </c>
      <c r="D1085" s="6" t="s">
        <v>169</v>
      </c>
      <c r="E1085" s="6" t="s">
        <v>17</v>
      </c>
      <c r="F1085" s="6">
        <v>2</v>
      </c>
      <c r="G1085" s="6">
        <v>1045</v>
      </c>
    </row>
    <row r="1086" s="2" customFormat="true" ht="22.5" customHeight="true" spans="1:7">
      <c r="A1086" s="6">
        <f>1084</f>
        <v>1084</v>
      </c>
      <c r="B1086" s="6" t="s">
        <v>1115</v>
      </c>
      <c r="C1086" s="6" t="s">
        <v>9</v>
      </c>
      <c r="D1086" s="6" t="s">
        <v>149</v>
      </c>
      <c r="E1086" s="6" t="s">
        <v>17</v>
      </c>
      <c r="F1086" s="6">
        <v>2</v>
      </c>
      <c r="G1086" s="6">
        <v>1340</v>
      </c>
    </row>
    <row r="1087" s="2" customFormat="true" ht="22.5" customHeight="true" spans="1:7">
      <c r="A1087" s="6">
        <f>1085</f>
        <v>1085</v>
      </c>
      <c r="B1087" s="6" t="s">
        <v>802</v>
      </c>
      <c r="C1087" s="6" t="s">
        <v>9</v>
      </c>
      <c r="D1087" s="6" t="s">
        <v>416</v>
      </c>
      <c r="E1087" s="6" t="s">
        <v>17</v>
      </c>
      <c r="F1087" s="6">
        <v>1</v>
      </c>
      <c r="G1087" s="6">
        <v>636</v>
      </c>
    </row>
    <row r="1088" s="2" customFormat="true" ht="22.5" customHeight="true" spans="1:7">
      <c r="A1088" s="6">
        <f>1086</f>
        <v>1086</v>
      </c>
      <c r="B1088" s="6" t="s">
        <v>1116</v>
      </c>
      <c r="C1088" s="6" t="s">
        <v>9</v>
      </c>
      <c r="D1088" s="6" t="s">
        <v>167</v>
      </c>
      <c r="E1088" s="6" t="s">
        <v>17</v>
      </c>
      <c r="F1088" s="6">
        <v>2</v>
      </c>
      <c r="G1088" s="6">
        <v>1226</v>
      </c>
    </row>
    <row r="1089" s="2" customFormat="true" ht="22.5" customHeight="true" spans="1:7">
      <c r="A1089" s="6">
        <f>1087</f>
        <v>1087</v>
      </c>
      <c r="B1089" s="6" t="s">
        <v>1117</v>
      </c>
      <c r="C1089" s="6" t="s">
        <v>15</v>
      </c>
      <c r="D1089" s="6" t="s">
        <v>149</v>
      </c>
      <c r="E1089" s="6" t="s">
        <v>17</v>
      </c>
      <c r="F1089" s="6">
        <v>1</v>
      </c>
      <c r="G1089" s="6">
        <v>624</v>
      </c>
    </row>
    <row r="1090" s="2" customFormat="true" ht="22.5" customHeight="true" spans="1:7">
      <c r="A1090" s="6">
        <f>1088</f>
        <v>1088</v>
      </c>
      <c r="B1090" s="6" t="s">
        <v>1118</v>
      </c>
      <c r="C1090" s="6" t="s">
        <v>9</v>
      </c>
      <c r="D1090" s="6" t="s">
        <v>149</v>
      </c>
      <c r="E1090" s="6" t="s">
        <v>17</v>
      </c>
      <c r="F1090" s="6">
        <v>2</v>
      </c>
      <c r="G1090" s="6">
        <v>1075</v>
      </c>
    </row>
    <row r="1091" s="2" customFormat="true" ht="22.5" customHeight="true" spans="1:7">
      <c r="A1091" s="6">
        <f>1089</f>
        <v>1089</v>
      </c>
      <c r="B1091" s="6" t="s">
        <v>1119</v>
      </c>
      <c r="C1091" s="6" t="s">
        <v>9</v>
      </c>
      <c r="D1091" s="6" t="s">
        <v>133</v>
      </c>
      <c r="E1091" s="6" t="s">
        <v>17</v>
      </c>
      <c r="F1091" s="6">
        <v>2</v>
      </c>
      <c r="G1091" s="6">
        <v>1262</v>
      </c>
    </row>
    <row r="1092" s="2" customFormat="true" ht="22.5" customHeight="true" spans="1:7">
      <c r="A1092" s="6">
        <f>1090</f>
        <v>1090</v>
      </c>
      <c r="B1092" s="6" t="s">
        <v>1120</v>
      </c>
      <c r="C1092" s="6" t="s">
        <v>9</v>
      </c>
      <c r="D1092" s="6" t="s">
        <v>167</v>
      </c>
      <c r="E1092" s="6" t="s">
        <v>79</v>
      </c>
      <c r="F1092" s="6">
        <v>1</v>
      </c>
      <c r="G1092" s="6">
        <v>531</v>
      </c>
    </row>
    <row r="1093" s="2" customFormat="true" ht="22.5" customHeight="true" spans="1:7">
      <c r="A1093" s="6">
        <f>1091</f>
        <v>1091</v>
      </c>
      <c r="B1093" s="6" t="s">
        <v>1121</v>
      </c>
      <c r="C1093" s="6" t="s">
        <v>9</v>
      </c>
      <c r="D1093" s="6" t="s">
        <v>182</v>
      </c>
      <c r="E1093" s="6" t="s">
        <v>11</v>
      </c>
      <c r="F1093" s="6">
        <v>1</v>
      </c>
      <c r="G1093" s="6">
        <v>609</v>
      </c>
    </row>
    <row r="1094" s="2" customFormat="true" ht="22.5" customHeight="true" spans="1:7">
      <c r="A1094" s="6">
        <f>1092</f>
        <v>1092</v>
      </c>
      <c r="B1094" s="6" t="s">
        <v>1122</v>
      </c>
      <c r="C1094" s="6" t="s">
        <v>9</v>
      </c>
      <c r="D1094" s="6" t="s">
        <v>169</v>
      </c>
      <c r="E1094" s="6" t="s">
        <v>17</v>
      </c>
      <c r="F1094" s="6">
        <v>3</v>
      </c>
      <c r="G1094" s="6">
        <v>1617</v>
      </c>
    </row>
    <row r="1095" s="2" customFormat="true" ht="22.5" customHeight="true" spans="1:7">
      <c r="A1095" s="6">
        <f>1093</f>
        <v>1093</v>
      </c>
      <c r="B1095" s="6" t="s">
        <v>1123</v>
      </c>
      <c r="C1095" s="6" t="s">
        <v>9</v>
      </c>
      <c r="D1095" s="6" t="s">
        <v>149</v>
      </c>
      <c r="E1095" s="6" t="s">
        <v>79</v>
      </c>
      <c r="F1095" s="6">
        <v>1</v>
      </c>
      <c r="G1095" s="6">
        <v>471</v>
      </c>
    </row>
    <row r="1096" s="2" customFormat="true" ht="22.5" customHeight="true" spans="1:7">
      <c r="A1096" s="6">
        <f>1094</f>
        <v>1094</v>
      </c>
      <c r="B1096" s="6" t="s">
        <v>1124</v>
      </c>
      <c r="C1096" s="6" t="s">
        <v>9</v>
      </c>
      <c r="D1096" s="6" t="s">
        <v>167</v>
      </c>
      <c r="E1096" s="6" t="s">
        <v>17</v>
      </c>
      <c r="F1096" s="6">
        <v>2</v>
      </c>
      <c r="G1096" s="6">
        <v>1085</v>
      </c>
    </row>
    <row r="1097" s="2" customFormat="true" ht="22.5" customHeight="true" spans="1:7">
      <c r="A1097" s="6">
        <f>1095</f>
        <v>1095</v>
      </c>
      <c r="B1097" s="6" t="s">
        <v>1125</v>
      </c>
      <c r="C1097" s="6" t="s">
        <v>9</v>
      </c>
      <c r="D1097" s="6" t="s">
        <v>185</v>
      </c>
      <c r="E1097" s="6" t="s">
        <v>17</v>
      </c>
      <c r="F1097" s="6">
        <v>1</v>
      </c>
      <c r="G1097" s="6">
        <v>694</v>
      </c>
    </row>
    <row r="1098" s="2" customFormat="true" ht="22.5" customHeight="true" spans="1:7">
      <c r="A1098" s="6">
        <f>1096</f>
        <v>1096</v>
      </c>
      <c r="B1098" s="6" t="s">
        <v>1126</v>
      </c>
      <c r="C1098" s="6" t="s">
        <v>9</v>
      </c>
      <c r="D1098" s="6" t="s">
        <v>167</v>
      </c>
      <c r="E1098" s="6" t="s">
        <v>17</v>
      </c>
      <c r="F1098" s="6">
        <v>1</v>
      </c>
      <c r="G1098" s="6">
        <v>694</v>
      </c>
    </row>
    <row r="1099" s="2" customFormat="true" ht="22.5" customHeight="true" spans="1:7">
      <c r="A1099" s="6">
        <f>1097</f>
        <v>1097</v>
      </c>
      <c r="B1099" s="6" t="s">
        <v>1127</v>
      </c>
      <c r="C1099" s="6" t="s">
        <v>15</v>
      </c>
      <c r="D1099" s="6"/>
      <c r="E1099" s="6" t="s">
        <v>17</v>
      </c>
      <c r="F1099" s="6">
        <v>1</v>
      </c>
      <c r="G1099" s="6">
        <v>744</v>
      </c>
    </row>
    <row r="1100" s="2" customFormat="true" ht="22.5" customHeight="true" spans="1:7">
      <c r="A1100" s="6">
        <f>1098</f>
        <v>1098</v>
      </c>
      <c r="B1100" s="6" t="s">
        <v>1128</v>
      </c>
      <c r="C1100" s="6" t="s">
        <v>9</v>
      </c>
      <c r="D1100" s="6" t="s">
        <v>104</v>
      </c>
      <c r="E1100" s="6" t="s">
        <v>17</v>
      </c>
      <c r="F1100" s="6">
        <v>2</v>
      </c>
      <c r="G1100" s="6">
        <v>1165</v>
      </c>
    </row>
    <row r="1101" s="2" customFormat="true" ht="22.5" customHeight="true" spans="1:7">
      <c r="A1101" s="6">
        <f>1099</f>
        <v>1099</v>
      </c>
      <c r="B1101" s="6" t="s">
        <v>1129</v>
      </c>
      <c r="C1101" s="6" t="s">
        <v>9</v>
      </c>
      <c r="D1101" s="6" t="s">
        <v>416</v>
      </c>
      <c r="E1101" s="6" t="s">
        <v>17</v>
      </c>
      <c r="F1101" s="6">
        <v>1</v>
      </c>
      <c r="G1101" s="6">
        <v>624</v>
      </c>
    </row>
    <row r="1102" s="2" customFormat="true" ht="22.5" customHeight="true" spans="1:7">
      <c r="A1102" s="6">
        <f>1100</f>
        <v>1100</v>
      </c>
      <c r="B1102" s="6" t="s">
        <v>1130</v>
      </c>
      <c r="C1102" s="6" t="s">
        <v>9</v>
      </c>
      <c r="D1102" s="6" t="s">
        <v>416</v>
      </c>
      <c r="E1102" s="6" t="s">
        <v>17</v>
      </c>
      <c r="F1102" s="6">
        <v>1</v>
      </c>
      <c r="G1102" s="6">
        <v>649</v>
      </c>
    </row>
    <row r="1103" s="2" customFormat="true" ht="22.5" customHeight="true" spans="1:7">
      <c r="A1103" s="6">
        <f>1101</f>
        <v>1101</v>
      </c>
      <c r="B1103" s="6" t="s">
        <v>1131</v>
      </c>
      <c r="C1103" s="6" t="s">
        <v>9</v>
      </c>
      <c r="D1103" s="6" t="s">
        <v>124</v>
      </c>
      <c r="E1103" s="6" t="s">
        <v>17</v>
      </c>
      <c r="F1103" s="6">
        <v>5</v>
      </c>
      <c r="G1103" s="6">
        <v>3085</v>
      </c>
    </row>
    <row r="1104" s="2" customFormat="true" ht="22.5" customHeight="true" spans="1:7">
      <c r="A1104" s="6">
        <f>1102</f>
        <v>1102</v>
      </c>
      <c r="B1104" s="6" t="s">
        <v>1132</v>
      </c>
      <c r="C1104" s="6" t="s">
        <v>9</v>
      </c>
      <c r="D1104" s="6" t="s">
        <v>169</v>
      </c>
      <c r="E1104" s="6" t="s">
        <v>17</v>
      </c>
      <c r="F1104" s="6">
        <v>2</v>
      </c>
      <c r="G1104" s="6">
        <v>1338</v>
      </c>
    </row>
    <row r="1105" s="2" customFormat="true" ht="22.5" customHeight="true" spans="1:7">
      <c r="A1105" s="6">
        <f>1103</f>
        <v>1103</v>
      </c>
      <c r="B1105" s="6" t="s">
        <v>1133</v>
      </c>
      <c r="C1105" s="6" t="s">
        <v>9</v>
      </c>
      <c r="D1105" s="6" t="s">
        <v>159</v>
      </c>
      <c r="E1105" s="6" t="s">
        <v>79</v>
      </c>
      <c r="F1105" s="6">
        <v>1</v>
      </c>
      <c r="G1105" s="6">
        <v>425</v>
      </c>
    </row>
    <row r="1106" s="2" customFormat="true" ht="22.5" customHeight="true" spans="1:7">
      <c r="A1106" s="6">
        <f>1104</f>
        <v>1104</v>
      </c>
      <c r="B1106" s="6" t="s">
        <v>1134</v>
      </c>
      <c r="C1106" s="6" t="s">
        <v>9</v>
      </c>
      <c r="D1106" s="6" t="s">
        <v>167</v>
      </c>
      <c r="E1106" s="6" t="s">
        <v>17</v>
      </c>
      <c r="F1106" s="6">
        <v>3</v>
      </c>
      <c r="G1106" s="6">
        <v>1707</v>
      </c>
    </row>
    <row r="1107" s="2" customFormat="true" ht="22.5" customHeight="true" spans="1:7">
      <c r="A1107" s="6">
        <f>1105</f>
        <v>1105</v>
      </c>
      <c r="B1107" s="6" t="s">
        <v>1135</v>
      </c>
      <c r="C1107" s="6" t="s">
        <v>9</v>
      </c>
      <c r="D1107" s="6" t="s">
        <v>122</v>
      </c>
      <c r="E1107" s="6" t="s">
        <v>11</v>
      </c>
      <c r="F1107" s="6">
        <v>1</v>
      </c>
      <c r="G1107" s="6">
        <v>706</v>
      </c>
    </row>
    <row r="1108" s="2" customFormat="true" ht="22.5" customHeight="true" spans="1:7">
      <c r="A1108" s="6">
        <f>1106</f>
        <v>1106</v>
      </c>
      <c r="B1108" s="6" t="s">
        <v>1136</v>
      </c>
      <c r="C1108" s="6" t="s">
        <v>9</v>
      </c>
      <c r="D1108" s="6" t="s">
        <v>222</v>
      </c>
      <c r="E1108" s="6" t="s">
        <v>17</v>
      </c>
      <c r="F1108" s="6">
        <v>1</v>
      </c>
      <c r="G1108" s="6">
        <v>654</v>
      </c>
    </row>
    <row r="1109" s="2" customFormat="true" ht="22.5" customHeight="true" spans="1:7">
      <c r="A1109" s="6">
        <f>1107</f>
        <v>1107</v>
      </c>
      <c r="B1109" s="6" t="s">
        <v>1137</v>
      </c>
      <c r="C1109" s="6" t="s">
        <v>15</v>
      </c>
      <c r="D1109" s="6" t="s">
        <v>122</v>
      </c>
      <c r="E1109" s="6" t="s">
        <v>11</v>
      </c>
      <c r="F1109" s="6">
        <v>1</v>
      </c>
      <c r="G1109" s="6">
        <v>631</v>
      </c>
    </row>
    <row r="1110" s="2" customFormat="true" ht="22.5" customHeight="true" spans="1:7">
      <c r="A1110" s="6">
        <f>1108</f>
        <v>1108</v>
      </c>
      <c r="B1110" s="6" t="s">
        <v>1138</v>
      </c>
      <c r="C1110" s="6" t="s">
        <v>9</v>
      </c>
      <c r="D1110" s="6" t="s">
        <v>27</v>
      </c>
      <c r="E1110" s="6" t="s">
        <v>17</v>
      </c>
      <c r="F1110" s="6">
        <v>1</v>
      </c>
      <c r="G1110" s="6">
        <v>748</v>
      </c>
    </row>
    <row r="1111" s="2" customFormat="true" ht="22.5" customHeight="true" spans="1:7">
      <c r="A1111" s="6">
        <f>1109</f>
        <v>1109</v>
      </c>
      <c r="B1111" s="6" t="s">
        <v>1139</v>
      </c>
      <c r="C1111" s="6" t="s">
        <v>9</v>
      </c>
      <c r="D1111" s="6" t="s">
        <v>122</v>
      </c>
      <c r="E1111" s="6" t="s">
        <v>17</v>
      </c>
      <c r="F1111" s="6">
        <v>2</v>
      </c>
      <c r="G1111" s="6">
        <v>1076</v>
      </c>
    </row>
    <row r="1112" s="2" customFormat="true" ht="22.5" customHeight="true" spans="1:7">
      <c r="A1112" s="6">
        <f>1110</f>
        <v>1110</v>
      </c>
      <c r="B1112" s="6" t="s">
        <v>1140</v>
      </c>
      <c r="C1112" s="6" t="s">
        <v>15</v>
      </c>
      <c r="D1112" s="6" t="s">
        <v>122</v>
      </c>
      <c r="E1112" s="6" t="s">
        <v>11</v>
      </c>
      <c r="F1112" s="6">
        <v>2</v>
      </c>
      <c r="G1112" s="6">
        <v>1150</v>
      </c>
    </row>
    <row r="1113" s="2" customFormat="true" ht="22.5" customHeight="true" spans="1:7">
      <c r="A1113" s="6">
        <f>1111</f>
        <v>1111</v>
      </c>
      <c r="B1113" s="6" t="s">
        <v>1141</v>
      </c>
      <c r="C1113" s="6" t="s">
        <v>15</v>
      </c>
      <c r="D1113" s="6" t="s">
        <v>27</v>
      </c>
      <c r="E1113" s="6" t="s">
        <v>17</v>
      </c>
      <c r="F1113" s="6">
        <v>1</v>
      </c>
      <c r="G1113" s="6">
        <v>649</v>
      </c>
    </row>
    <row r="1114" s="2" customFormat="true" ht="22.5" customHeight="true" spans="1:7">
      <c r="A1114" s="6">
        <f>1112</f>
        <v>1112</v>
      </c>
      <c r="B1114" s="6" t="s">
        <v>1142</v>
      </c>
      <c r="C1114" s="6" t="s">
        <v>9</v>
      </c>
      <c r="D1114" s="6" t="s">
        <v>143</v>
      </c>
      <c r="E1114" s="6" t="s">
        <v>17</v>
      </c>
      <c r="F1114" s="6">
        <v>4</v>
      </c>
      <c r="G1114" s="6">
        <v>2255</v>
      </c>
    </row>
    <row r="1115" s="2" customFormat="true" ht="22.5" customHeight="true" spans="1:7">
      <c r="A1115" s="6">
        <f>1113</f>
        <v>1113</v>
      </c>
      <c r="B1115" s="6" t="s">
        <v>1143</v>
      </c>
      <c r="C1115" s="6" t="s">
        <v>15</v>
      </c>
      <c r="D1115" s="6" t="s">
        <v>143</v>
      </c>
      <c r="E1115" s="6" t="s">
        <v>17</v>
      </c>
      <c r="F1115" s="6">
        <v>2</v>
      </c>
      <c r="G1115" s="6">
        <v>1250</v>
      </c>
    </row>
    <row r="1116" s="2" customFormat="true" ht="22.5" customHeight="true" spans="1:7">
      <c r="A1116" s="6">
        <f>1114</f>
        <v>1114</v>
      </c>
      <c r="B1116" s="6" t="s">
        <v>1144</v>
      </c>
      <c r="C1116" s="6" t="s">
        <v>9</v>
      </c>
      <c r="D1116" s="6" t="s">
        <v>129</v>
      </c>
      <c r="E1116" s="6" t="s">
        <v>11</v>
      </c>
      <c r="F1116" s="6">
        <v>2</v>
      </c>
      <c r="G1116" s="6">
        <v>1176</v>
      </c>
    </row>
    <row r="1117" s="2" customFormat="true" ht="22.5" customHeight="true" spans="1:7">
      <c r="A1117" s="6">
        <f>1115</f>
        <v>1115</v>
      </c>
      <c r="B1117" s="6" t="s">
        <v>1145</v>
      </c>
      <c r="C1117" s="6" t="s">
        <v>9</v>
      </c>
      <c r="D1117" s="6" t="s">
        <v>27</v>
      </c>
      <c r="E1117" s="6" t="s">
        <v>11</v>
      </c>
      <c r="F1117" s="6">
        <v>4</v>
      </c>
      <c r="G1117" s="6">
        <v>2010</v>
      </c>
    </row>
    <row r="1118" s="2" customFormat="true" ht="22.5" customHeight="true" spans="1:7">
      <c r="A1118" s="6">
        <f>1116</f>
        <v>1116</v>
      </c>
      <c r="B1118" s="6" t="s">
        <v>1146</v>
      </c>
      <c r="C1118" s="6" t="s">
        <v>9</v>
      </c>
      <c r="D1118" s="6" t="s">
        <v>131</v>
      </c>
      <c r="E1118" s="6" t="s">
        <v>17</v>
      </c>
      <c r="F1118" s="6">
        <v>2</v>
      </c>
      <c r="G1118" s="6">
        <v>1250</v>
      </c>
    </row>
    <row r="1119" s="2" customFormat="true" ht="22.5" customHeight="true" spans="1:7">
      <c r="A1119" s="6">
        <f>1117</f>
        <v>1117</v>
      </c>
      <c r="B1119" s="6" t="s">
        <v>1147</v>
      </c>
      <c r="C1119" s="6" t="s">
        <v>9</v>
      </c>
      <c r="D1119" s="6" t="s">
        <v>143</v>
      </c>
      <c r="E1119" s="6" t="s">
        <v>11</v>
      </c>
      <c r="F1119" s="6">
        <v>1</v>
      </c>
      <c r="G1119" s="6">
        <v>577</v>
      </c>
    </row>
    <row r="1120" s="2" customFormat="true" ht="22.5" customHeight="true" spans="1:7">
      <c r="A1120" s="6">
        <f>1118</f>
        <v>1118</v>
      </c>
      <c r="B1120" s="6" t="s">
        <v>1148</v>
      </c>
      <c r="C1120" s="6" t="s">
        <v>9</v>
      </c>
      <c r="D1120" s="6" t="s">
        <v>133</v>
      </c>
      <c r="E1120" s="6" t="s">
        <v>17</v>
      </c>
      <c r="F1120" s="6">
        <v>2</v>
      </c>
      <c r="G1120" s="6">
        <v>1212</v>
      </c>
    </row>
    <row r="1121" s="2" customFormat="true" ht="22.5" customHeight="true" spans="1:7">
      <c r="A1121" s="6">
        <f>1119</f>
        <v>1119</v>
      </c>
      <c r="B1121" s="6" t="s">
        <v>1149</v>
      </c>
      <c r="C1121" s="6" t="s">
        <v>9</v>
      </c>
      <c r="D1121" s="6" t="s">
        <v>159</v>
      </c>
      <c r="E1121" s="6" t="s">
        <v>11</v>
      </c>
      <c r="F1121" s="6">
        <v>2</v>
      </c>
      <c r="G1121" s="6">
        <v>1172</v>
      </c>
    </row>
    <row r="1122" s="2" customFormat="true" ht="22.5" customHeight="true" spans="1:7">
      <c r="A1122" s="6">
        <f>1120</f>
        <v>1120</v>
      </c>
      <c r="B1122" s="6" t="s">
        <v>1150</v>
      </c>
      <c r="C1122" s="6" t="s">
        <v>15</v>
      </c>
      <c r="D1122" s="6" t="s">
        <v>143</v>
      </c>
      <c r="E1122" s="6" t="s">
        <v>11</v>
      </c>
      <c r="F1122" s="6">
        <v>1</v>
      </c>
      <c r="G1122" s="6">
        <v>606</v>
      </c>
    </row>
    <row r="1123" s="2" customFormat="true" ht="22.5" customHeight="true" spans="1:7">
      <c r="A1123" s="6">
        <f>1121</f>
        <v>1121</v>
      </c>
      <c r="B1123" s="6" t="s">
        <v>1151</v>
      </c>
      <c r="C1123" s="6" t="s">
        <v>9</v>
      </c>
      <c r="D1123" s="6" t="s">
        <v>164</v>
      </c>
      <c r="E1123" s="6" t="s">
        <v>11</v>
      </c>
      <c r="F1123" s="6">
        <v>2</v>
      </c>
      <c r="G1123" s="6">
        <v>1148</v>
      </c>
    </row>
    <row r="1124" s="2" customFormat="true" ht="22.5" customHeight="true" spans="1:7">
      <c r="A1124" s="6">
        <f>1122</f>
        <v>1122</v>
      </c>
      <c r="B1124" s="6" t="s">
        <v>1152</v>
      </c>
      <c r="C1124" s="6" t="s">
        <v>15</v>
      </c>
      <c r="D1124" s="6" t="s">
        <v>164</v>
      </c>
      <c r="E1124" s="6" t="s">
        <v>17</v>
      </c>
      <c r="F1124" s="6">
        <v>1</v>
      </c>
      <c r="G1124" s="6">
        <v>634</v>
      </c>
    </row>
    <row r="1125" s="2" customFormat="true" ht="22.5" customHeight="true" spans="1:7">
      <c r="A1125" s="6">
        <f>1123</f>
        <v>1123</v>
      </c>
      <c r="B1125" s="6" t="s">
        <v>1153</v>
      </c>
      <c r="C1125" s="6" t="s">
        <v>9</v>
      </c>
      <c r="D1125" s="6" t="s">
        <v>143</v>
      </c>
      <c r="E1125" s="6" t="s">
        <v>79</v>
      </c>
      <c r="F1125" s="6">
        <v>2</v>
      </c>
      <c r="G1125" s="6">
        <v>862</v>
      </c>
    </row>
    <row r="1126" s="2" customFormat="true" ht="22.5" customHeight="true" spans="1:7">
      <c r="A1126" s="6">
        <f>1124</f>
        <v>1124</v>
      </c>
      <c r="B1126" s="6" t="s">
        <v>1154</v>
      </c>
      <c r="C1126" s="6" t="s">
        <v>9</v>
      </c>
      <c r="D1126" s="6" t="s">
        <v>133</v>
      </c>
      <c r="E1126" s="6" t="s">
        <v>17</v>
      </c>
      <c r="F1126" s="6">
        <v>2</v>
      </c>
      <c r="G1126" s="6">
        <v>1045</v>
      </c>
    </row>
    <row r="1127" s="2" customFormat="true" ht="22.5" customHeight="true" spans="1:7">
      <c r="A1127" s="6">
        <f>1125</f>
        <v>1125</v>
      </c>
      <c r="B1127" s="6" t="s">
        <v>1155</v>
      </c>
      <c r="C1127" s="6" t="s">
        <v>15</v>
      </c>
      <c r="D1127" s="6" t="s">
        <v>131</v>
      </c>
      <c r="E1127" s="6" t="s">
        <v>79</v>
      </c>
      <c r="F1127" s="6">
        <v>1</v>
      </c>
      <c r="G1127" s="6">
        <v>438</v>
      </c>
    </row>
    <row r="1128" s="2" customFormat="true" ht="22.5" customHeight="true" spans="1:7">
      <c r="A1128" s="6">
        <f>1126</f>
        <v>1126</v>
      </c>
      <c r="B1128" s="6" t="s">
        <v>1156</v>
      </c>
      <c r="C1128" s="6" t="s">
        <v>15</v>
      </c>
      <c r="D1128" s="6" t="s">
        <v>270</v>
      </c>
      <c r="E1128" s="6" t="s">
        <v>17</v>
      </c>
      <c r="F1128" s="6">
        <v>1</v>
      </c>
      <c r="G1128" s="6">
        <v>649</v>
      </c>
    </row>
    <row r="1129" s="2" customFormat="true" ht="22.5" customHeight="true" spans="1:7">
      <c r="A1129" s="6">
        <f>1127</f>
        <v>1127</v>
      </c>
      <c r="B1129" s="6" t="s">
        <v>1157</v>
      </c>
      <c r="C1129" s="6" t="s">
        <v>9</v>
      </c>
      <c r="D1129" s="6" t="s">
        <v>222</v>
      </c>
      <c r="E1129" s="6" t="s">
        <v>79</v>
      </c>
      <c r="F1129" s="6">
        <v>1</v>
      </c>
      <c r="G1129" s="6">
        <v>471</v>
      </c>
    </row>
    <row r="1130" s="2" customFormat="true" ht="22.5" customHeight="true" spans="1:7">
      <c r="A1130" s="6">
        <f>1128</f>
        <v>1128</v>
      </c>
      <c r="B1130" s="6" t="s">
        <v>1158</v>
      </c>
      <c r="C1130" s="6" t="s">
        <v>15</v>
      </c>
      <c r="D1130" s="6" t="s">
        <v>129</v>
      </c>
      <c r="E1130" s="6" t="s">
        <v>17</v>
      </c>
      <c r="F1130" s="6">
        <v>1</v>
      </c>
      <c r="G1130" s="6">
        <v>740</v>
      </c>
    </row>
    <row r="1131" s="2" customFormat="true" ht="22.5" customHeight="true" spans="1:7">
      <c r="A1131" s="6">
        <f>1129</f>
        <v>1129</v>
      </c>
      <c r="B1131" s="6" t="s">
        <v>1159</v>
      </c>
      <c r="C1131" s="6" t="s">
        <v>9</v>
      </c>
      <c r="D1131" s="6" t="s">
        <v>149</v>
      </c>
      <c r="E1131" s="6" t="s">
        <v>17</v>
      </c>
      <c r="F1131" s="6">
        <v>4</v>
      </c>
      <c r="G1131" s="6">
        <v>2237</v>
      </c>
    </row>
    <row r="1132" s="2" customFormat="true" ht="22.5" customHeight="true" spans="1:7">
      <c r="A1132" s="6">
        <f>1130</f>
        <v>1130</v>
      </c>
      <c r="B1132" s="6" t="s">
        <v>1160</v>
      </c>
      <c r="C1132" s="6" t="s">
        <v>9</v>
      </c>
      <c r="D1132" s="6" t="s">
        <v>143</v>
      </c>
      <c r="E1132" s="6" t="s">
        <v>79</v>
      </c>
      <c r="F1132" s="6">
        <v>1</v>
      </c>
      <c r="G1132" s="6">
        <v>411</v>
      </c>
    </row>
    <row r="1133" s="2" customFormat="true" ht="22.5" customHeight="true" spans="1:7">
      <c r="A1133" s="6">
        <f>1131</f>
        <v>1131</v>
      </c>
      <c r="B1133" s="6" t="s">
        <v>1161</v>
      </c>
      <c r="C1133" s="6" t="s">
        <v>9</v>
      </c>
      <c r="D1133" s="6" t="s">
        <v>161</v>
      </c>
      <c r="E1133" s="6" t="s">
        <v>17</v>
      </c>
      <c r="F1133" s="6">
        <v>1</v>
      </c>
      <c r="G1133" s="6">
        <v>649</v>
      </c>
    </row>
    <row r="1134" s="2" customFormat="true" ht="22.5" customHeight="true" spans="1:7">
      <c r="A1134" s="6">
        <f>1132</f>
        <v>1132</v>
      </c>
      <c r="B1134" s="6" t="s">
        <v>1162</v>
      </c>
      <c r="C1134" s="6" t="s">
        <v>9</v>
      </c>
      <c r="D1134" s="6" t="s">
        <v>131</v>
      </c>
      <c r="E1134" s="6" t="s">
        <v>17</v>
      </c>
      <c r="F1134" s="6">
        <v>3</v>
      </c>
      <c r="G1134" s="6">
        <v>1659</v>
      </c>
    </row>
    <row r="1135" s="2" customFormat="true" ht="22.5" customHeight="true" spans="1:7">
      <c r="A1135" s="6">
        <f>1133</f>
        <v>1133</v>
      </c>
      <c r="B1135" s="6" t="s">
        <v>1163</v>
      </c>
      <c r="C1135" s="6" t="s">
        <v>9</v>
      </c>
      <c r="D1135" s="6" t="s">
        <v>260</v>
      </c>
      <c r="E1135" s="6" t="s">
        <v>79</v>
      </c>
      <c r="F1135" s="6">
        <v>1</v>
      </c>
      <c r="G1135" s="6">
        <v>708</v>
      </c>
    </row>
    <row r="1136" s="2" customFormat="true" ht="22.5" customHeight="true" spans="1:7">
      <c r="A1136" s="6">
        <f>1134</f>
        <v>1134</v>
      </c>
      <c r="B1136" s="6" t="s">
        <v>1164</v>
      </c>
      <c r="C1136" s="6" t="s">
        <v>9</v>
      </c>
      <c r="D1136" s="6" t="s">
        <v>129</v>
      </c>
      <c r="E1136" s="6" t="s">
        <v>17</v>
      </c>
      <c r="F1136" s="6">
        <v>1</v>
      </c>
      <c r="G1136" s="6">
        <v>678</v>
      </c>
    </row>
    <row r="1137" s="2" customFormat="true" ht="22.5" customHeight="true" spans="1:7">
      <c r="A1137" s="6">
        <f>1135</f>
        <v>1135</v>
      </c>
      <c r="B1137" s="6" t="s">
        <v>1165</v>
      </c>
      <c r="C1137" s="6" t="s">
        <v>15</v>
      </c>
      <c r="D1137" s="6" t="s">
        <v>159</v>
      </c>
      <c r="E1137" s="6" t="s">
        <v>17</v>
      </c>
      <c r="F1137" s="6">
        <v>1</v>
      </c>
      <c r="G1137" s="6">
        <v>649</v>
      </c>
    </row>
    <row r="1138" s="2" customFormat="true" ht="22.5" customHeight="true" spans="1:7">
      <c r="A1138" s="6">
        <f>1136</f>
        <v>1136</v>
      </c>
      <c r="B1138" s="6" t="s">
        <v>1166</v>
      </c>
      <c r="C1138" s="6" t="s">
        <v>9</v>
      </c>
      <c r="D1138" s="6" t="s">
        <v>143</v>
      </c>
      <c r="E1138" s="6" t="s">
        <v>17</v>
      </c>
      <c r="F1138" s="6">
        <v>2</v>
      </c>
      <c r="G1138" s="6">
        <v>1288</v>
      </c>
    </row>
    <row r="1139" s="2" customFormat="true" ht="22.5" customHeight="true" spans="1:7">
      <c r="A1139" s="6">
        <f>1137</f>
        <v>1137</v>
      </c>
      <c r="B1139" s="6" t="s">
        <v>1167</v>
      </c>
      <c r="C1139" s="6" t="s">
        <v>9</v>
      </c>
      <c r="D1139" s="6" t="s">
        <v>164</v>
      </c>
      <c r="E1139" s="6" t="s">
        <v>17</v>
      </c>
      <c r="F1139" s="6">
        <v>2</v>
      </c>
      <c r="G1139" s="6">
        <v>1392</v>
      </c>
    </row>
    <row r="1140" s="2" customFormat="true" ht="22.5" customHeight="true" spans="1:7">
      <c r="A1140" s="6">
        <f>1138</f>
        <v>1138</v>
      </c>
      <c r="B1140" s="6" t="s">
        <v>1168</v>
      </c>
      <c r="C1140" s="6" t="s">
        <v>9</v>
      </c>
      <c r="D1140" s="6" t="s">
        <v>169</v>
      </c>
      <c r="E1140" s="6" t="s">
        <v>17</v>
      </c>
      <c r="F1140" s="6">
        <v>3</v>
      </c>
      <c r="G1140" s="6">
        <v>1569</v>
      </c>
    </row>
    <row r="1141" s="2" customFormat="true" ht="22.5" customHeight="true" spans="1:7">
      <c r="A1141" s="6">
        <f>1139</f>
        <v>1139</v>
      </c>
      <c r="B1141" s="6" t="s">
        <v>1169</v>
      </c>
      <c r="C1141" s="6" t="s">
        <v>9</v>
      </c>
      <c r="D1141" s="6" t="s">
        <v>138</v>
      </c>
      <c r="E1141" s="6" t="s">
        <v>17</v>
      </c>
      <c r="F1141" s="6">
        <v>1</v>
      </c>
      <c r="G1141" s="6">
        <v>694</v>
      </c>
    </row>
    <row r="1142" s="2" customFormat="true" ht="22.5" customHeight="true" spans="1:7">
      <c r="A1142" s="6">
        <f>1140</f>
        <v>1140</v>
      </c>
      <c r="B1142" s="6" t="s">
        <v>1170</v>
      </c>
      <c r="C1142" s="6" t="s">
        <v>15</v>
      </c>
      <c r="D1142" s="6" t="s">
        <v>188</v>
      </c>
      <c r="E1142" s="6" t="s">
        <v>11</v>
      </c>
      <c r="F1142" s="6">
        <v>3</v>
      </c>
      <c r="G1142" s="6">
        <v>1661</v>
      </c>
    </row>
    <row r="1143" s="2" customFormat="true" ht="22.5" customHeight="true" spans="1:7">
      <c r="A1143" s="6">
        <f>1141</f>
        <v>1141</v>
      </c>
      <c r="B1143" s="6" t="s">
        <v>1171</v>
      </c>
      <c r="C1143" s="6" t="s">
        <v>15</v>
      </c>
      <c r="D1143" s="6" t="s">
        <v>13</v>
      </c>
      <c r="E1143" s="6" t="s">
        <v>11</v>
      </c>
      <c r="F1143" s="6">
        <v>1</v>
      </c>
      <c r="G1143" s="6">
        <v>621</v>
      </c>
    </row>
    <row r="1144" s="2" customFormat="true" ht="22.5" customHeight="true" spans="1:7">
      <c r="A1144" s="6">
        <f>1142</f>
        <v>1142</v>
      </c>
      <c r="B1144" s="6" t="s">
        <v>1172</v>
      </c>
      <c r="C1144" s="6" t="s">
        <v>15</v>
      </c>
      <c r="D1144" s="6" t="s">
        <v>169</v>
      </c>
      <c r="E1144" s="6" t="s">
        <v>17</v>
      </c>
      <c r="F1144" s="6">
        <v>1</v>
      </c>
      <c r="G1144" s="6">
        <v>654</v>
      </c>
    </row>
    <row r="1145" s="2" customFormat="true" ht="22.5" customHeight="true" spans="1:7">
      <c r="A1145" s="6">
        <f>1143</f>
        <v>1143</v>
      </c>
      <c r="B1145" s="6" t="s">
        <v>1173</v>
      </c>
      <c r="C1145" s="6" t="s">
        <v>9</v>
      </c>
      <c r="D1145" s="6" t="s">
        <v>180</v>
      </c>
      <c r="E1145" s="6" t="s">
        <v>11</v>
      </c>
      <c r="F1145" s="6">
        <v>2</v>
      </c>
      <c r="G1145" s="6">
        <v>1268</v>
      </c>
    </row>
    <row r="1146" s="2" customFormat="true" ht="22.5" customHeight="true" spans="1:7">
      <c r="A1146" s="6">
        <f>1144</f>
        <v>1144</v>
      </c>
      <c r="B1146" s="6" t="s">
        <v>1174</v>
      </c>
      <c r="C1146" s="6" t="s">
        <v>9</v>
      </c>
      <c r="D1146" s="6" t="s">
        <v>239</v>
      </c>
      <c r="E1146" s="6" t="s">
        <v>17</v>
      </c>
      <c r="F1146" s="6">
        <v>2</v>
      </c>
      <c r="G1146" s="6">
        <v>1212</v>
      </c>
    </row>
    <row r="1147" s="2" customFormat="true" ht="22.5" customHeight="true" spans="1:7">
      <c r="A1147" s="6">
        <f>1145</f>
        <v>1145</v>
      </c>
      <c r="B1147" s="6" t="s">
        <v>1175</v>
      </c>
      <c r="C1147" s="6" t="s">
        <v>15</v>
      </c>
      <c r="D1147" s="6" t="s">
        <v>143</v>
      </c>
      <c r="E1147" s="6" t="s">
        <v>11</v>
      </c>
      <c r="F1147" s="6">
        <v>1</v>
      </c>
      <c r="G1147" s="6">
        <v>656</v>
      </c>
    </row>
    <row r="1148" s="2" customFormat="true" ht="22.5" customHeight="true" spans="1:7">
      <c r="A1148" s="6">
        <f>1146</f>
        <v>1146</v>
      </c>
      <c r="B1148" s="6" t="s">
        <v>1176</v>
      </c>
      <c r="C1148" s="6" t="s">
        <v>9</v>
      </c>
      <c r="D1148" s="6" t="s">
        <v>143</v>
      </c>
      <c r="E1148" s="6" t="s">
        <v>11</v>
      </c>
      <c r="F1148" s="6">
        <v>2</v>
      </c>
      <c r="G1148" s="6">
        <v>1205</v>
      </c>
    </row>
    <row r="1149" s="2" customFormat="true" ht="22.5" customHeight="true" spans="1:7">
      <c r="A1149" s="6">
        <f>1147</f>
        <v>1147</v>
      </c>
      <c r="B1149" s="6" t="s">
        <v>1177</v>
      </c>
      <c r="C1149" s="6" t="s">
        <v>9</v>
      </c>
      <c r="D1149" s="6"/>
      <c r="E1149" s="6" t="s">
        <v>17</v>
      </c>
      <c r="F1149" s="6">
        <v>2</v>
      </c>
      <c r="G1149" s="6">
        <v>1253</v>
      </c>
    </row>
    <row r="1150" s="2" customFormat="true" ht="22.5" customHeight="true" spans="1:7">
      <c r="A1150" s="6">
        <f>1148</f>
        <v>1148</v>
      </c>
      <c r="B1150" s="6" t="s">
        <v>1178</v>
      </c>
      <c r="C1150" s="6" t="s">
        <v>9</v>
      </c>
      <c r="D1150" s="6" t="s">
        <v>143</v>
      </c>
      <c r="E1150" s="6" t="s">
        <v>11</v>
      </c>
      <c r="F1150" s="6">
        <v>1</v>
      </c>
      <c r="G1150" s="6">
        <v>579</v>
      </c>
    </row>
    <row r="1151" s="2" customFormat="true" ht="22.5" customHeight="true" spans="1:7">
      <c r="A1151" s="6">
        <f>1149</f>
        <v>1149</v>
      </c>
      <c r="B1151" s="6" t="s">
        <v>1179</v>
      </c>
      <c r="C1151" s="6" t="s">
        <v>9</v>
      </c>
      <c r="D1151" s="6" t="s">
        <v>13</v>
      </c>
      <c r="E1151" s="6" t="s">
        <v>17</v>
      </c>
      <c r="F1151" s="6">
        <v>2</v>
      </c>
      <c r="G1151" s="6">
        <v>1226</v>
      </c>
    </row>
    <row r="1152" s="2" customFormat="true" ht="22.5" customHeight="true" spans="1:7">
      <c r="A1152" s="6">
        <f>1150</f>
        <v>1150</v>
      </c>
      <c r="B1152" s="6" t="s">
        <v>1180</v>
      </c>
      <c r="C1152" s="6" t="s">
        <v>9</v>
      </c>
      <c r="D1152" s="6" t="s">
        <v>164</v>
      </c>
      <c r="E1152" s="6" t="s">
        <v>17</v>
      </c>
      <c r="F1152" s="6">
        <v>2</v>
      </c>
      <c r="G1152" s="6">
        <v>1208</v>
      </c>
    </row>
    <row r="1153" s="2" customFormat="true" ht="22.5" customHeight="true" spans="1:7">
      <c r="A1153" s="6">
        <f>1151</f>
        <v>1151</v>
      </c>
      <c r="B1153" s="6" t="s">
        <v>1181</v>
      </c>
      <c r="C1153" s="6" t="s">
        <v>9</v>
      </c>
      <c r="D1153" s="6" t="s">
        <v>188</v>
      </c>
      <c r="E1153" s="6" t="s">
        <v>17</v>
      </c>
      <c r="F1153" s="6">
        <v>2</v>
      </c>
      <c r="G1153" s="6">
        <v>1193</v>
      </c>
    </row>
    <row r="1154" s="2" customFormat="true" ht="22.5" customHeight="true" spans="1:7">
      <c r="A1154" s="6">
        <f>1152</f>
        <v>1152</v>
      </c>
      <c r="B1154" s="6" t="s">
        <v>1182</v>
      </c>
      <c r="C1154" s="6" t="s">
        <v>9</v>
      </c>
      <c r="D1154" s="6" t="s">
        <v>169</v>
      </c>
      <c r="E1154" s="6" t="s">
        <v>17</v>
      </c>
      <c r="F1154" s="6">
        <v>3</v>
      </c>
      <c r="G1154" s="6">
        <v>1662</v>
      </c>
    </row>
    <row r="1155" s="2" customFormat="true" ht="22.5" customHeight="true" spans="1:7">
      <c r="A1155" s="6">
        <f>1153</f>
        <v>1153</v>
      </c>
      <c r="B1155" s="6" t="s">
        <v>1183</v>
      </c>
      <c r="C1155" s="6" t="s">
        <v>9</v>
      </c>
      <c r="D1155" s="6" t="s">
        <v>180</v>
      </c>
      <c r="E1155" s="6" t="s">
        <v>17</v>
      </c>
      <c r="F1155" s="6">
        <v>4</v>
      </c>
      <c r="G1155" s="6">
        <v>2114</v>
      </c>
    </row>
    <row r="1156" s="2" customFormat="true" ht="22.5" customHeight="true" spans="1:7">
      <c r="A1156" s="6">
        <f>1154</f>
        <v>1154</v>
      </c>
      <c r="B1156" s="6" t="s">
        <v>1184</v>
      </c>
      <c r="C1156" s="6" t="s">
        <v>9</v>
      </c>
      <c r="D1156" s="6" t="s">
        <v>143</v>
      </c>
      <c r="E1156" s="6" t="s">
        <v>17</v>
      </c>
      <c r="F1156" s="6">
        <v>2</v>
      </c>
      <c r="G1156" s="6">
        <v>1282</v>
      </c>
    </row>
    <row r="1157" s="2" customFormat="true" ht="22.5" customHeight="true" spans="1:7">
      <c r="A1157" s="6">
        <f>1155</f>
        <v>1155</v>
      </c>
      <c r="B1157" s="6" t="s">
        <v>1185</v>
      </c>
      <c r="C1157" s="6" t="s">
        <v>9</v>
      </c>
      <c r="D1157" s="6" t="s">
        <v>13</v>
      </c>
      <c r="E1157" s="6" t="s">
        <v>17</v>
      </c>
      <c r="F1157" s="6">
        <v>2</v>
      </c>
      <c r="G1157" s="6">
        <v>954</v>
      </c>
    </row>
    <row r="1158" s="2" customFormat="true" ht="22.5" customHeight="true" spans="1:7">
      <c r="A1158" s="6">
        <f>1156</f>
        <v>1156</v>
      </c>
      <c r="B1158" s="6" t="s">
        <v>1186</v>
      </c>
      <c r="C1158" s="6" t="s">
        <v>9</v>
      </c>
      <c r="D1158" s="6" t="s">
        <v>143</v>
      </c>
      <c r="E1158" s="6" t="s">
        <v>17</v>
      </c>
      <c r="F1158" s="6">
        <v>1</v>
      </c>
      <c r="G1158" s="6">
        <v>674</v>
      </c>
    </row>
    <row r="1159" s="2" customFormat="true" ht="22.5" customHeight="true" spans="1:7">
      <c r="A1159" s="6">
        <f>1157</f>
        <v>1157</v>
      </c>
      <c r="B1159" s="6" t="s">
        <v>1187</v>
      </c>
      <c r="C1159" s="6" t="s">
        <v>9</v>
      </c>
      <c r="D1159" s="6" t="s">
        <v>222</v>
      </c>
      <c r="E1159" s="6" t="s">
        <v>17</v>
      </c>
      <c r="F1159" s="6">
        <v>4</v>
      </c>
      <c r="G1159" s="6">
        <v>2013</v>
      </c>
    </row>
    <row r="1160" s="2" customFormat="true" ht="22.5" customHeight="true" spans="1:7">
      <c r="A1160" s="6">
        <f>1158</f>
        <v>1158</v>
      </c>
      <c r="B1160" s="6" t="s">
        <v>1188</v>
      </c>
      <c r="C1160" s="6" t="s">
        <v>9</v>
      </c>
      <c r="D1160" s="6" t="s">
        <v>13</v>
      </c>
      <c r="E1160" s="6" t="s">
        <v>11</v>
      </c>
      <c r="F1160" s="6">
        <v>1</v>
      </c>
      <c r="G1160" s="6">
        <v>574</v>
      </c>
    </row>
    <row r="1161" s="2" customFormat="true" ht="22.5" customHeight="true" spans="1:7">
      <c r="A1161" s="6">
        <f>1159</f>
        <v>1159</v>
      </c>
      <c r="B1161" s="6" t="s">
        <v>1189</v>
      </c>
      <c r="C1161" s="6" t="s">
        <v>15</v>
      </c>
      <c r="D1161" s="6" t="s">
        <v>164</v>
      </c>
      <c r="E1161" s="6" t="s">
        <v>17</v>
      </c>
      <c r="F1161" s="6">
        <v>2</v>
      </c>
      <c r="G1161" s="6">
        <v>1330</v>
      </c>
    </row>
    <row r="1162" s="2" customFormat="true" ht="22.5" customHeight="true" spans="1:7">
      <c r="A1162" s="6">
        <f>1160</f>
        <v>1160</v>
      </c>
      <c r="B1162" s="6" t="s">
        <v>1190</v>
      </c>
      <c r="C1162" s="6" t="s">
        <v>15</v>
      </c>
      <c r="D1162" s="6" t="s">
        <v>159</v>
      </c>
      <c r="E1162" s="6" t="s">
        <v>11</v>
      </c>
      <c r="F1162" s="6">
        <v>4</v>
      </c>
      <c r="G1162" s="6">
        <v>2319</v>
      </c>
    </row>
    <row r="1163" s="2" customFormat="true" ht="22.5" customHeight="true" spans="1:7">
      <c r="A1163" s="6">
        <f>1161</f>
        <v>1161</v>
      </c>
      <c r="B1163" s="6" t="s">
        <v>1191</v>
      </c>
      <c r="C1163" s="6" t="s">
        <v>15</v>
      </c>
      <c r="D1163" s="6" t="s">
        <v>188</v>
      </c>
      <c r="E1163" s="6" t="s">
        <v>17</v>
      </c>
      <c r="F1163" s="6">
        <v>4</v>
      </c>
      <c r="G1163" s="6">
        <v>2337</v>
      </c>
    </row>
    <row r="1164" s="2" customFormat="true" ht="22.5" customHeight="true" spans="1:7">
      <c r="A1164" s="6">
        <f>1162</f>
        <v>1162</v>
      </c>
      <c r="B1164" s="6" t="s">
        <v>1017</v>
      </c>
      <c r="C1164" s="6" t="s">
        <v>15</v>
      </c>
      <c r="D1164" s="6" t="s">
        <v>209</v>
      </c>
      <c r="E1164" s="6" t="s">
        <v>11</v>
      </c>
      <c r="F1164" s="6">
        <v>1</v>
      </c>
      <c r="G1164" s="6">
        <v>616</v>
      </c>
    </row>
    <row r="1165" s="2" customFormat="true" ht="22.5" customHeight="true" spans="1:7">
      <c r="A1165" s="6">
        <f>1163</f>
        <v>1163</v>
      </c>
      <c r="B1165" s="6" t="s">
        <v>1192</v>
      </c>
      <c r="C1165" s="6" t="s">
        <v>9</v>
      </c>
      <c r="D1165" s="6" t="s">
        <v>202</v>
      </c>
      <c r="E1165" s="6" t="s">
        <v>79</v>
      </c>
      <c r="F1165" s="6">
        <v>2</v>
      </c>
      <c r="G1165" s="6">
        <v>962</v>
      </c>
    </row>
    <row r="1166" s="2" customFormat="true" ht="22.5" customHeight="true" spans="1:7">
      <c r="A1166" s="6">
        <f>1164</f>
        <v>1164</v>
      </c>
      <c r="B1166" s="6" t="s">
        <v>1193</v>
      </c>
      <c r="C1166" s="6" t="s">
        <v>9</v>
      </c>
      <c r="D1166" s="6" t="s">
        <v>117</v>
      </c>
      <c r="E1166" s="6" t="s">
        <v>11</v>
      </c>
      <c r="F1166" s="6">
        <v>2</v>
      </c>
      <c r="G1166" s="6">
        <v>1013</v>
      </c>
    </row>
    <row r="1167" s="2" customFormat="true" ht="22.5" customHeight="true" spans="1:7">
      <c r="A1167" s="6">
        <f>1165</f>
        <v>1165</v>
      </c>
      <c r="B1167" s="6" t="s">
        <v>1194</v>
      </c>
      <c r="C1167" s="6" t="s">
        <v>9</v>
      </c>
      <c r="D1167" s="6" t="s">
        <v>202</v>
      </c>
      <c r="E1167" s="6" t="s">
        <v>17</v>
      </c>
      <c r="F1167" s="6">
        <v>1</v>
      </c>
      <c r="G1167" s="6">
        <v>656</v>
      </c>
    </row>
    <row r="1168" s="2" customFormat="true" ht="22.5" customHeight="true" spans="1:7">
      <c r="A1168" s="6">
        <f>1166</f>
        <v>1166</v>
      </c>
      <c r="B1168" s="6" t="s">
        <v>1195</v>
      </c>
      <c r="C1168" s="6" t="s">
        <v>9</v>
      </c>
      <c r="D1168" s="6" t="s">
        <v>202</v>
      </c>
      <c r="E1168" s="6" t="s">
        <v>11</v>
      </c>
      <c r="F1168" s="6">
        <v>3</v>
      </c>
      <c r="G1168" s="6">
        <v>1618</v>
      </c>
    </row>
    <row r="1169" s="2" customFormat="true" ht="22.5" customHeight="true" spans="1:7">
      <c r="A1169" s="6">
        <f>1167</f>
        <v>1167</v>
      </c>
      <c r="B1169" s="6" t="s">
        <v>1097</v>
      </c>
      <c r="C1169" s="6" t="s">
        <v>9</v>
      </c>
      <c r="D1169" s="6" t="s">
        <v>10</v>
      </c>
      <c r="E1169" s="6" t="s">
        <v>17</v>
      </c>
      <c r="F1169" s="6">
        <v>6</v>
      </c>
      <c r="G1169" s="6">
        <v>3453</v>
      </c>
    </row>
    <row r="1170" s="2" customFormat="true" ht="22.5" customHeight="true" spans="1:7">
      <c r="A1170" s="6">
        <f>1168</f>
        <v>1168</v>
      </c>
      <c r="B1170" s="6" t="s">
        <v>1196</v>
      </c>
      <c r="C1170" s="6" t="s">
        <v>15</v>
      </c>
      <c r="D1170" s="6" t="s">
        <v>202</v>
      </c>
      <c r="E1170" s="6" t="s">
        <v>11</v>
      </c>
      <c r="F1170" s="6">
        <v>1</v>
      </c>
      <c r="G1170" s="6">
        <v>597</v>
      </c>
    </row>
    <row r="1171" s="2" customFormat="true" ht="22.5" customHeight="true" spans="1:7">
      <c r="A1171" s="6">
        <f>1169</f>
        <v>1169</v>
      </c>
      <c r="B1171" s="6" t="s">
        <v>1197</v>
      </c>
      <c r="C1171" s="6" t="s">
        <v>15</v>
      </c>
      <c r="D1171" s="6" t="s">
        <v>209</v>
      </c>
      <c r="E1171" s="6" t="s">
        <v>11</v>
      </c>
      <c r="F1171" s="6">
        <v>1</v>
      </c>
      <c r="G1171" s="6">
        <v>631</v>
      </c>
    </row>
    <row r="1172" s="2" customFormat="true" ht="22.5" customHeight="true" spans="1:7">
      <c r="A1172" s="6">
        <f>1170</f>
        <v>1170</v>
      </c>
      <c r="B1172" s="6" t="s">
        <v>1171</v>
      </c>
      <c r="C1172" s="6" t="s">
        <v>15</v>
      </c>
      <c r="D1172" s="6" t="s">
        <v>13</v>
      </c>
      <c r="E1172" s="6" t="s">
        <v>11</v>
      </c>
      <c r="F1172" s="6">
        <v>1</v>
      </c>
      <c r="G1172" s="6">
        <v>656</v>
      </c>
    </row>
    <row r="1173" s="2" customFormat="true" ht="22.5" customHeight="true" spans="1:7">
      <c r="A1173" s="6">
        <f>1171</f>
        <v>1171</v>
      </c>
      <c r="B1173" s="6" t="s">
        <v>1198</v>
      </c>
      <c r="C1173" s="6" t="s">
        <v>15</v>
      </c>
      <c r="D1173" s="6" t="s">
        <v>117</v>
      </c>
      <c r="E1173" s="6" t="s">
        <v>11</v>
      </c>
      <c r="F1173" s="6">
        <v>1</v>
      </c>
      <c r="G1173" s="6">
        <v>631</v>
      </c>
    </row>
    <row r="1174" s="2" customFormat="true" ht="22.5" customHeight="true" spans="1:7">
      <c r="A1174" s="6">
        <f>1172</f>
        <v>1172</v>
      </c>
      <c r="B1174" s="6" t="s">
        <v>1199</v>
      </c>
      <c r="C1174" s="6" t="s">
        <v>9</v>
      </c>
      <c r="D1174" s="6" t="s">
        <v>209</v>
      </c>
      <c r="E1174" s="6" t="s">
        <v>17</v>
      </c>
      <c r="F1174" s="6">
        <v>2</v>
      </c>
      <c r="G1174" s="6">
        <v>1280</v>
      </c>
    </row>
    <row r="1175" s="2" customFormat="true" ht="22.5" customHeight="true" spans="1:7">
      <c r="A1175" s="6">
        <f>1173</f>
        <v>1173</v>
      </c>
      <c r="B1175" s="6" t="s">
        <v>1200</v>
      </c>
      <c r="C1175" s="6" t="s">
        <v>15</v>
      </c>
      <c r="D1175" s="6" t="s">
        <v>67</v>
      </c>
      <c r="E1175" s="6" t="s">
        <v>11</v>
      </c>
      <c r="F1175" s="6">
        <v>1</v>
      </c>
      <c r="G1175" s="6">
        <v>631</v>
      </c>
    </row>
    <row r="1176" s="2" customFormat="true" ht="22.5" customHeight="true" spans="1:7">
      <c r="A1176" s="6">
        <f>1174</f>
        <v>1174</v>
      </c>
      <c r="B1176" s="6" t="s">
        <v>1201</v>
      </c>
      <c r="C1176" s="6" t="s">
        <v>15</v>
      </c>
      <c r="D1176" s="6" t="s">
        <v>67</v>
      </c>
      <c r="E1176" s="6" t="s">
        <v>11</v>
      </c>
      <c r="F1176" s="6">
        <v>2</v>
      </c>
      <c r="G1176" s="6">
        <v>1190</v>
      </c>
    </row>
    <row r="1177" s="2" customFormat="true" ht="22.5" customHeight="true" spans="1:7">
      <c r="A1177" s="6">
        <f>1175</f>
        <v>1175</v>
      </c>
      <c r="B1177" s="6" t="s">
        <v>1202</v>
      </c>
      <c r="C1177" s="6" t="s">
        <v>15</v>
      </c>
      <c r="D1177" s="6" t="s">
        <v>13</v>
      </c>
      <c r="E1177" s="6" t="s">
        <v>17</v>
      </c>
      <c r="F1177" s="6">
        <v>1</v>
      </c>
      <c r="G1177" s="6">
        <v>706</v>
      </c>
    </row>
    <row r="1178" s="2" customFormat="true" ht="22.5" customHeight="true" spans="1:7">
      <c r="A1178" s="6">
        <f>1176</f>
        <v>1176</v>
      </c>
      <c r="B1178" s="6" t="s">
        <v>1203</v>
      </c>
      <c r="C1178" s="6" t="s">
        <v>15</v>
      </c>
      <c r="D1178" s="6" t="s">
        <v>209</v>
      </c>
      <c r="E1178" s="6" t="s">
        <v>11</v>
      </c>
      <c r="F1178" s="6">
        <v>1</v>
      </c>
      <c r="G1178" s="6">
        <v>631</v>
      </c>
    </row>
    <row r="1179" s="2" customFormat="true" ht="22.5" customHeight="true" spans="1:7">
      <c r="A1179" s="6">
        <f>1177</f>
        <v>1177</v>
      </c>
      <c r="B1179" s="6" t="s">
        <v>1204</v>
      </c>
      <c r="C1179" s="6" t="s">
        <v>15</v>
      </c>
      <c r="D1179" s="6" t="s">
        <v>209</v>
      </c>
      <c r="E1179" s="6" t="s">
        <v>11</v>
      </c>
      <c r="F1179" s="6">
        <v>1</v>
      </c>
      <c r="G1179" s="6">
        <v>616</v>
      </c>
    </row>
    <row r="1180" s="2" customFormat="true" ht="22.5" customHeight="true" spans="1:7">
      <c r="A1180" s="6">
        <f>1178</f>
        <v>1178</v>
      </c>
      <c r="B1180" s="6" t="s">
        <v>1205</v>
      </c>
      <c r="C1180" s="6" t="s">
        <v>15</v>
      </c>
      <c r="D1180" s="6" t="s">
        <v>230</v>
      </c>
      <c r="E1180" s="6" t="s">
        <v>17</v>
      </c>
      <c r="F1180" s="6">
        <v>1</v>
      </c>
      <c r="G1180" s="6">
        <v>649</v>
      </c>
    </row>
    <row r="1181" s="2" customFormat="true" ht="22.5" customHeight="true" spans="1:7">
      <c r="A1181" s="6">
        <f>1179</f>
        <v>1179</v>
      </c>
      <c r="B1181" s="6" t="s">
        <v>1206</v>
      </c>
      <c r="C1181" s="6" t="s">
        <v>15</v>
      </c>
      <c r="D1181" s="6" t="s">
        <v>230</v>
      </c>
      <c r="E1181" s="6" t="s">
        <v>11</v>
      </c>
      <c r="F1181" s="6">
        <v>1</v>
      </c>
      <c r="G1181" s="6">
        <v>616</v>
      </c>
    </row>
    <row r="1182" s="2" customFormat="true" ht="22.5" customHeight="true" spans="1:7">
      <c r="A1182" s="6">
        <f>1180</f>
        <v>1180</v>
      </c>
      <c r="B1182" s="6" t="s">
        <v>1207</v>
      </c>
      <c r="C1182" s="6" t="s">
        <v>9</v>
      </c>
      <c r="D1182" s="6" t="s">
        <v>10</v>
      </c>
      <c r="E1182" s="6" t="s">
        <v>11</v>
      </c>
      <c r="F1182" s="6">
        <v>2</v>
      </c>
      <c r="G1182" s="6">
        <v>1232</v>
      </c>
    </row>
    <row r="1183" s="2" customFormat="true" ht="22.5" customHeight="true" spans="1:7">
      <c r="A1183" s="6">
        <f>1181</f>
        <v>1181</v>
      </c>
      <c r="B1183" s="6" t="s">
        <v>1208</v>
      </c>
      <c r="C1183" s="6" t="s">
        <v>15</v>
      </c>
      <c r="D1183" s="6" t="s">
        <v>202</v>
      </c>
      <c r="E1183" s="6" t="s">
        <v>11</v>
      </c>
      <c r="F1183" s="6">
        <v>1</v>
      </c>
      <c r="G1183" s="6">
        <v>597</v>
      </c>
    </row>
    <row r="1184" s="2" customFormat="true" ht="22.5" customHeight="true" spans="1:7">
      <c r="A1184" s="6">
        <f>1182</f>
        <v>1182</v>
      </c>
      <c r="B1184" s="6" t="s">
        <v>1209</v>
      </c>
      <c r="C1184" s="6" t="s">
        <v>15</v>
      </c>
      <c r="D1184" s="6" t="s">
        <v>202</v>
      </c>
      <c r="E1184" s="6" t="s">
        <v>11</v>
      </c>
      <c r="F1184" s="6">
        <v>1</v>
      </c>
      <c r="G1184" s="6">
        <v>597</v>
      </c>
    </row>
    <row r="1185" s="2" customFormat="true" ht="22.5" customHeight="true" spans="1:7">
      <c r="A1185" s="6">
        <f>1183</f>
        <v>1183</v>
      </c>
      <c r="B1185" s="6" t="s">
        <v>1210</v>
      </c>
      <c r="C1185" s="6" t="s">
        <v>15</v>
      </c>
      <c r="D1185" s="6" t="s">
        <v>209</v>
      </c>
      <c r="E1185" s="6" t="s">
        <v>17</v>
      </c>
      <c r="F1185" s="6">
        <v>1</v>
      </c>
      <c r="G1185" s="6">
        <v>634</v>
      </c>
    </row>
    <row r="1186" s="2" customFormat="true" ht="22.5" customHeight="true" spans="1:7">
      <c r="A1186" s="6">
        <f>1184</f>
        <v>1184</v>
      </c>
      <c r="B1186" s="6" t="s">
        <v>1211</v>
      </c>
      <c r="C1186" s="6" t="s">
        <v>9</v>
      </c>
      <c r="D1186" s="6" t="s">
        <v>13</v>
      </c>
      <c r="E1186" s="6" t="s">
        <v>17</v>
      </c>
      <c r="F1186" s="6">
        <v>1</v>
      </c>
      <c r="G1186" s="6">
        <v>656</v>
      </c>
    </row>
    <row r="1187" s="2" customFormat="true" ht="22.5" customHeight="true" spans="1:7">
      <c r="A1187" s="6">
        <f>1185</f>
        <v>1185</v>
      </c>
      <c r="B1187" s="6" t="s">
        <v>1212</v>
      </c>
      <c r="C1187" s="6" t="s">
        <v>9</v>
      </c>
      <c r="D1187" s="6" t="s">
        <v>202</v>
      </c>
      <c r="E1187" s="6" t="s">
        <v>11</v>
      </c>
      <c r="F1187" s="6">
        <v>1</v>
      </c>
      <c r="G1187" s="6">
        <v>631</v>
      </c>
    </row>
    <row r="1188" s="2" customFormat="true" ht="22.5" customHeight="true" spans="1:7">
      <c r="A1188" s="6">
        <f>1186</f>
        <v>1186</v>
      </c>
      <c r="B1188" s="6" t="s">
        <v>1213</v>
      </c>
      <c r="C1188" s="6" t="s">
        <v>15</v>
      </c>
      <c r="D1188" s="6" t="s">
        <v>202</v>
      </c>
      <c r="E1188" s="6" t="s">
        <v>11</v>
      </c>
      <c r="F1188" s="6">
        <v>1</v>
      </c>
      <c r="G1188" s="6">
        <v>616</v>
      </c>
    </row>
    <row r="1189" s="2" customFormat="true" ht="22.5" customHeight="true" spans="1:7">
      <c r="A1189" s="6">
        <f>1187</f>
        <v>1187</v>
      </c>
      <c r="B1189" s="6" t="s">
        <v>1214</v>
      </c>
      <c r="C1189" s="6" t="s">
        <v>9</v>
      </c>
      <c r="D1189" s="6" t="s">
        <v>230</v>
      </c>
      <c r="E1189" s="6" t="s">
        <v>11</v>
      </c>
      <c r="F1189" s="6">
        <v>2</v>
      </c>
      <c r="G1189" s="6">
        <v>1272</v>
      </c>
    </row>
    <row r="1190" s="2" customFormat="true" ht="22.5" customHeight="true" spans="1:7">
      <c r="A1190" s="6">
        <f>1188</f>
        <v>1188</v>
      </c>
      <c r="B1190" s="6" t="s">
        <v>1215</v>
      </c>
      <c r="C1190" s="6" t="s">
        <v>9</v>
      </c>
      <c r="D1190" s="6" t="s">
        <v>209</v>
      </c>
      <c r="E1190" s="6" t="s">
        <v>11</v>
      </c>
      <c r="F1190" s="6">
        <v>2</v>
      </c>
      <c r="G1190" s="6">
        <v>1232</v>
      </c>
    </row>
    <row r="1191" s="2" customFormat="true" ht="22.5" customHeight="true" spans="1:7">
      <c r="A1191" s="6">
        <f>1189</f>
        <v>1189</v>
      </c>
      <c r="B1191" s="6" t="s">
        <v>1216</v>
      </c>
      <c r="C1191" s="6" t="s">
        <v>15</v>
      </c>
      <c r="D1191" s="6" t="s">
        <v>49</v>
      </c>
      <c r="E1191" s="6" t="s">
        <v>17</v>
      </c>
      <c r="F1191" s="6">
        <v>1</v>
      </c>
      <c r="G1191" s="6">
        <v>694</v>
      </c>
    </row>
    <row r="1192" s="2" customFormat="true" ht="22.5" customHeight="true" spans="1:7">
      <c r="A1192" s="6">
        <f>1190</f>
        <v>1190</v>
      </c>
      <c r="B1192" s="6" t="s">
        <v>1217</v>
      </c>
      <c r="C1192" s="6" t="s">
        <v>15</v>
      </c>
      <c r="D1192" s="6" t="s">
        <v>209</v>
      </c>
      <c r="E1192" s="6" t="s">
        <v>17</v>
      </c>
      <c r="F1192" s="6">
        <v>1</v>
      </c>
      <c r="G1192" s="6">
        <v>649</v>
      </c>
    </row>
    <row r="1193" s="2" customFormat="true" ht="22.5" customHeight="true" spans="1:7">
      <c r="A1193" s="6">
        <f>1191</f>
        <v>1191</v>
      </c>
      <c r="B1193" s="6" t="s">
        <v>1218</v>
      </c>
      <c r="C1193" s="6" t="s">
        <v>15</v>
      </c>
      <c r="D1193" s="6" t="s">
        <v>13</v>
      </c>
      <c r="E1193" s="6" t="s">
        <v>17</v>
      </c>
      <c r="F1193" s="6">
        <v>1</v>
      </c>
      <c r="G1193" s="6">
        <v>649</v>
      </c>
    </row>
    <row r="1194" s="2" customFormat="true" ht="22.5" customHeight="true" spans="1:7">
      <c r="A1194" s="6">
        <f>1192</f>
        <v>1192</v>
      </c>
      <c r="B1194" s="6" t="s">
        <v>1219</v>
      </c>
      <c r="C1194" s="6" t="s">
        <v>15</v>
      </c>
      <c r="D1194" s="6" t="s">
        <v>49</v>
      </c>
      <c r="E1194" s="6" t="s">
        <v>17</v>
      </c>
      <c r="F1194" s="6">
        <v>1</v>
      </c>
      <c r="G1194" s="6">
        <v>716</v>
      </c>
    </row>
    <row r="1195" s="2" customFormat="true" ht="22.5" customHeight="true" spans="1:7">
      <c r="A1195" s="6">
        <f>1193</f>
        <v>1193</v>
      </c>
      <c r="B1195" s="6" t="s">
        <v>580</v>
      </c>
      <c r="C1195" s="6" t="s">
        <v>9</v>
      </c>
      <c r="D1195" s="6" t="s">
        <v>209</v>
      </c>
      <c r="E1195" s="6" t="s">
        <v>17</v>
      </c>
      <c r="F1195" s="6">
        <v>2</v>
      </c>
      <c r="G1195" s="6">
        <v>1224</v>
      </c>
    </row>
    <row r="1196" s="2" customFormat="true" ht="22.5" customHeight="true" spans="1:7">
      <c r="A1196" s="6">
        <f>1194</f>
        <v>1194</v>
      </c>
      <c r="B1196" s="6" t="s">
        <v>1220</v>
      </c>
      <c r="C1196" s="6" t="s">
        <v>15</v>
      </c>
      <c r="D1196" s="6" t="s">
        <v>209</v>
      </c>
      <c r="E1196" s="6" t="s">
        <v>11</v>
      </c>
      <c r="F1196" s="6">
        <v>1</v>
      </c>
      <c r="G1196" s="6">
        <v>558</v>
      </c>
    </row>
    <row r="1197" s="2" customFormat="true" ht="22.5" customHeight="true" spans="1:7">
      <c r="A1197" s="6">
        <f>1195</f>
        <v>1195</v>
      </c>
      <c r="B1197" s="6" t="s">
        <v>1221</v>
      </c>
      <c r="C1197" s="6" t="s">
        <v>9</v>
      </c>
      <c r="D1197" s="6" t="s">
        <v>230</v>
      </c>
      <c r="E1197" s="6" t="s">
        <v>11</v>
      </c>
      <c r="F1197" s="6">
        <v>1</v>
      </c>
      <c r="G1197" s="6">
        <v>596</v>
      </c>
    </row>
    <row r="1198" s="2" customFormat="true" ht="22.5" customHeight="true" spans="1:7">
      <c r="A1198" s="6">
        <f>1196</f>
        <v>1196</v>
      </c>
      <c r="B1198" s="6" t="s">
        <v>1222</v>
      </c>
      <c r="C1198" s="6" t="s">
        <v>15</v>
      </c>
      <c r="D1198" s="6" t="s">
        <v>209</v>
      </c>
      <c r="E1198" s="6" t="s">
        <v>17</v>
      </c>
      <c r="F1198" s="6">
        <v>1</v>
      </c>
      <c r="G1198" s="6">
        <v>649</v>
      </c>
    </row>
    <row r="1199" s="2" customFormat="true" ht="22.5" customHeight="true" spans="1:7">
      <c r="A1199" s="6">
        <f>1197</f>
        <v>1197</v>
      </c>
      <c r="B1199" s="6" t="s">
        <v>1223</v>
      </c>
      <c r="C1199" s="6" t="s">
        <v>9</v>
      </c>
      <c r="D1199" s="6" t="s">
        <v>202</v>
      </c>
      <c r="E1199" s="6" t="s">
        <v>17</v>
      </c>
      <c r="F1199" s="6">
        <v>1</v>
      </c>
      <c r="G1199" s="6">
        <v>634</v>
      </c>
    </row>
    <row r="1200" s="2" customFormat="true" ht="22.5" customHeight="true" spans="1:7">
      <c r="A1200" s="6">
        <f>1198</f>
        <v>1198</v>
      </c>
      <c r="B1200" s="6" t="s">
        <v>1224</v>
      </c>
      <c r="C1200" s="6" t="s">
        <v>15</v>
      </c>
      <c r="D1200" s="6" t="s">
        <v>209</v>
      </c>
      <c r="E1200" s="6" t="s">
        <v>17</v>
      </c>
      <c r="F1200" s="6">
        <v>2</v>
      </c>
      <c r="G1200" s="6">
        <v>1285</v>
      </c>
    </row>
    <row r="1201" s="2" customFormat="true" ht="22.5" customHeight="true" spans="1:7">
      <c r="A1201" s="6">
        <f>1199</f>
        <v>1199</v>
      </c>
      <c r="B1201" s="6" t="s">
        <v>1225</v>
      </c>
      <c r="C1201" s="6" t="s">
        <v>15</v>
      </c>
      <c r="D1201" s="6" t="s">
        <v>13</v>
      </c>
      <c r="E1201" s="6" t="s">
        <v>17</v>
      </c>
      <c r="F1201" s="6">
        <v>1</v>
      </c>
      <c r="G1201" s="6">
        <v>624</v>
      </c>
    </row>
    <row r="1202" s="2" customFormat="true" ht="22.5" customHeight="true" spans="1:7">
      <c r="A1202" s="6">
        <f>1200</f>
        <v>1200</v>
      </c>
      <c r="B1202" s="6" t="s">
        <v>1226</v>
      </c>
      <c r="C1202" s="6" t="s">
        <v>15</v>
      </c>
      <c r="D1202" s="6" t="s">
        <v>13</v>
      </c>
      <c r="E1202" s="6" t="s">
        <v>17</v>
      </c>
      <c r="F1202" s="6">
        <v>1</v>
      </c>
      <c r="G1202" s="6">
        <v>649</v>
      </c>
    </row>
    <row r="1203" s="2" customFormat="true" ht="22.5" customHeight="true" spans="1:7">
      <c r="A1203" s="6">
        <f>1201</f>
        <v>1201</v>
      </c>
      <c r="B1203" s="6" t="s">
        <v>1227</v>
      </c>
      <c r="C1203" s="6" t="s">
        <v>15</v>
      </c>
      <c r="D1203" s="6" t="s">
        <v>67</v>
      </c>
      <c r="E1203" s="6" t="s">
        <v>17</v>
      </c>
      <c r="F1203" s="6">
        <v>1</v>
      </c>
      <c r="G1203" s="6">
        <v>656</v>
      </c>
    </row>
    <row r="1204" s="2" customFormat="true" ht="22.5" customHeight="true" spans="1:7">
      <c r="A1204" s="6">
        <f>1202</f>
        <v>1202</v>
      </c>
      <c r="B1204" s="6" t="s">
        <v>1228</v>
      </c>
      <c r="C1204" s="6" t="s">
        <v>15</v>
      </c>
      <c r="D1204" s="6" t="s">
        <v>202</v>
      </c>
      <c r="E1204" s="6" t="s">
        <v>17</v>
      </c>
      <c r="F1204" s="6">
        <v>1</v>
      </c>
      <c r="G1204" s="6">
        <v>634</v>
      </c>
    </row>
    <row r="1205" s="2" customFormat="true" ht="22.5" customHeight="true" spans="1:7">
      <c r="A1205" s="6">
        <f>1203</f>
        <v>1203</v>
      </c>
      <c r="B1205" s="6" t="s">
        <v>1229</v>
      </c>
      <c r="C1205" s="6" t="s">
        <v>9</v>
      </c>
      <c r="D1205" s="6" t="s">
        <v>67</v>
      </c>
      <c r="E1205" s="6" t="s">
        <v>11</v>
      </c>
      <c r="F1205" s="6">
        <v>1</v>
      </c>
      <c r="G1205" s="6">
        <v>505</v>
      </c>
    </row>
    <row r="1206" s="2" customFormat="true" ht="22.5" customHeight="true" spans="1:7">
      <c r="A1206" s="6">
        <f>1204</f>
        <v>1204</v>
      </c>
      <c r="B1206" s="6" t="s">
        <v>1230</v>
      </c>
      <c r="C1206" s="6" t="s">
        <v>9</v>
      </c>
      <c r="D1206" s="6" t="s">
        <v>13</v>
      </c>
      <c r="E1206" s="6" t="s">
        <v>17</v>
      </c>
      <c r="F1206" s="6">
        <v>1</v>
      </c>
      <c r="G1206" s="6">
        <v>649</v>
      </c>
    </row>
    <row r="1207" s="2" customFormat="true" ht="22.5" customHeight="true" spans="1:7">
      <c r="A1207" s="6">
        <f>1205</f>
        <v>1205</v>
      </c>
      <c r="B1207" s="6" t="s">
        <v>630</v>
      </c>
      <c r="C1207" s="6" t="s">
        <v>9</v>
      </c>
      <c r="D1207" s="6" t="s">
        <v>230</v>
      </c>
      <c r="E1207" s="6" t="s">
        <v>11</v>
      </c>
      <c r="F1207" s="6">
        <v>1</v>
      </c>
      <c r="G1207" s="6">
        <v>631</v>
      </c>
    </row>
    <row r="1208" s="2" customFormat="true" ht="22.5" customHeight="true" spans="1:7">
      <c r="A1208" s="6">
        <f>1206</f>
        <v>1206</v>
      </c>
      <c r="B1208" s="6" t="s">
        <v>1231</v>
      </c>
      <c r="C1208" s="6" t="s">
        <v>9</v>
      </c>
      <c r="D1208" s="6" t="s">
        <v>209</v>
      </c>
      <c r="E1208" s="6" t="s">
        <v>79</v>
      </c>
      <c r="F1208" s="6">
        <v>2</v>
      </c>
      <c r="G1208" s="6">
        <v>950</v>
      </c>
    </row>
    <row r="1209" s="2" customFormat="true" ht="22.5" customHeight="true" spans="1:7">
      <c r="A1209" s="6">
        <f>1207</f>
        <v>1207</v>
      </c>
      <c r="B1209" s="6" t="s">
        <v>1232</v>
      </c>
      <c r="C1209" s="6" t="s">
        <v>9</v>
      </c>
      <c r="D1209" s="6" t="s">
        <v>230</v>
      </c>
      <c r="E1209" s="6" t="s">
        <v>17</v>
      </c>
      <c r="F1209" s="6">
        <v>3</v>
      </c>
      <c r="G1209" s="6">
        <v>1611</v>
      </c>
    </row>
    <row r="1210" s="2" customFormat="true" ht="22.5" customHeight="true" spans="1:7">
      <c r="A1210" s="6">
        <f>1208</f>
        <v>1208</v>
      </c>
      <c r="B1210" s="6" t="s">
        <v>1233</v>
      </c>
      <c r="C1210" s="6" t="s">
        <v>15</v>
      </c>
      <c r="D1210" s="6" t="s">
        <v>230</v>
      </c>
      <c r="E1210" s="6" t="s">
        <v>17</v>
      </c>
      <c r="F1210" s="6">
        <v>3</v>
      </c>
      <c r="G1210" s="6">
        <v>1662</v>
      </c>
    </row>
    <row r="1211" s="2" customFormat="true" ht="22.5" customHeight="true" spans="1:7">
      <c r="A1211" s="6">
        <f>1209</f>
        <v>1209</v>
      </c>
      <c r="B1211" s="6" t="s">
        <v>1234</v>
      </c>
      <c r="C1211" s="6" t="s">
        <v>9</v>
      </c>
      <c r="D1211" s="6" t="s">
        <v>117</v>
      </c>
      <c r="E1211" s="6" t="s">
        <v>17</v>
      </c>
      <c r="F1211" s="6">
        <v>1</v>
      </c>
      <c r="G1211" s="6">
        <v>794</v>
      </c>
    </row>
    <row r="1212" s="2" customFormat="true" ht="22.5" customHeight="true" spans="1:7">
      <c r="A1212" s="6">
        <f>1210</f>
        <v>1210</v>
      </c>
      <c r="B1212" s="6" t="s">
        <v>1235</v>
      </c>
      <c r="C1212" s="6" t="s">
        <v>9</v>
      </c>
      <c r="D1212" s="6" t="s">
        <v>202</v>
      </c>
      <c r="E1212" s="6" t="s">
        <v>17</v>
      </c>
      <c r="F1212" s="6">
        <v>4</v>
      </c>
      <c r="G1212" s="6">
        <v>2329</v>
      </c>
    </row>
    <row r="1213" s="2" customFormat="true" ht="22.5" customHeight="true" spans="1:7">
      <c r="A1213" s="6">
        <f>1211</f>
        <v>1211</v>
      </c>
      <c r="B1213" s="6" t="s">
        <v>1236</v>
      </c>
      <c r="C1213" s="6" t="s">
        <v>15</v>
      </c>
      <c r="D1213" s="6" t="s">
        <v>13</v>
      </c>
      <c r="E1213" s="6" t="s">
        <v>17</v>
      </c>
      <c r="F1213" s="6">
        <v>2</v>
      </c>
      <c r="G1213" s="6">
        <v>1178</v>
      </c>
    </row>
    <row r="1214" s="2" customFormat="true" ht="22.5" customHeight="true" spans="1:7">
      <c r="A1214" s="6">
        <f>1212</f>
        <v>1212</v>
      </c>
      <c r="B1214" s="6" t="s">
        <v>1237</v>
      </c>
      <c r="C1214" s="6" t="s">
        <v>9</v>
      </c>
      <c r="D1214" s="6" t="s">
        <v>67</v>
      </c>
      <c r="E1214" s="6" t="s">
        <v>11</v>
      </c>
      <c r="F1214" s="6">
        <v>4</v>
      </c>
      <c r="G1214" s="6">
        <v>1826</v>
      </c>
    </row>
    <row r="1215" s="2" customFormat="true" ht="22.5" customHeight="true" spans="1:7">
      <c r="A1215" s="6">
        <f>1213</f>
        <v>1213</v>
      </c>
      <c r="B1215" s="6" t="s">
        <v>1238</v>
      </c>
      <c r="C1215" s="6" t="s">
        <v>15</v>
      </c>
      <c r="D1215" s="6" t="s">
        <v>67</v>
      </c>
      <c r="E1215" s="6" t="s">
        <v>17</v>
      </c>
      <c r="F1215" s="6">
        <v>1</v>
      </c>
      <c r="G1215" s="6">
        <v>794</v>
      </c>
    </row>
    <row r="1216" s="2" customFormat="true" ht="22.5" customHeight="true" spans="1:7">
      <c r="A1216" s="6">
        <f>1214</f>
        <v>1214</v>
      </c>
      <c r="B1216" s="6" t="s">
        <v>1239</v>
      </c>
      <c r="C1216" s="6" t="s">
        <v>9</v>
      </c>
      <c r="D1216" s="6" t="s">
        <v>230</v>
      </c>
      <c r="E1216" s="6" t="s">
        <v>17</v>
      </c>
      <c r="F1216" s="6">
        <v>1</v>
      </c>
      <c r="G1216" s="6">
        <v>724</v>
      </c>
    </row>
    <row r="1217" s="2" customFormat="true" ht="22.5" customHeight="true" spans="1:7">
      <c r="A1217" s="6">
        <f>1215</f>
        <v>1215</v>
      </c>
      <c r="B1217" s="6" t="s">
        <v>1240</v>
      </c>
      <c r="C1217" s="6" t="s">
        <v>9</v>
      </c>
      <c r="D1217" s="6" t="s">
        <v>230</v>
      </c>
      <c r="E1217" s="6" t="s">
        <v>17</v>
      </c>
      <c r="F1217" s="6">
        <v>1</v>
      </c>
      <c r="G1217" s="6">
        <v>649</v>
      </c>
    </row>
    <row r="1218" s="2" customFormat="true" ht="22.5" customHeight="true" spans="1:7">
      <c r="A1218" s="6">
        <f>1216</f>
        <v>1216</v>
      </c>
      <c r="B1218" s="6" t="s">
        <v>1241</v>
      </c>
      <c r="C1218" s="6" t="s">
        <v>9</v>
      </c>
      <c r="D1218" s="6" t="s">
        <v>13</v>
      </c>
      <c r="E1218" s="6" t="s">
        <v>17</v>
      </c>
      <c r="F1218" s="6">
        <v>1</v>
      </c>
      <c r="G1218" s="6">
        <v>674</v>
      </c>
    </row>
    <row r="1219" s="2" customFormat="true" ht="22.5" customHeight="true" spans="1:7">
      <c r="A1219" s="6">
        <f>1217</f>
        <v>1217</v>
      </c>
      <c r="B1219" s="6" t="s">
        <v>1242</v>
      </c>
      <c r="C1219" s="6" t="s">
        <v>9</v>
      </c>
      <c r="D1219" s="6" t="s">
        <v>49</v>
      </c>
      <c r="E1219" s="6" t="s">
        <v>79</v>
      </c>
      <c r="F1219" s="6">
        <v>1</v>
      </c>
      <c r="G1219" s="6">
        <v>471</v>
      </c>
    </row>
    <row r="1220" s="2" customFormat="true" ht="22.5" customHeight="true" spans="1:7">
      <c r="A1220" s="6">
        <f>1218</f>
        <v>1218</v>
      </c>
      <c r="B1220" s="6" t="s">
        <v>1243</v>
      </c>
      <c r="C1220" s="6" t="s">
        <v>9</v>
      </c>
      <c r="D1220" s="6" t="s">
        <v>202</v>
      </c>
      <c r="E1220" s="6" t="s">
        <v>11</v>
      </c>
      <c r="F1220" s="6">
        <v>1</v>
      </c>
      <c r="G1220" s="6">
        <v>606</v>
      </c>
    </row>
    <row r="1221" s="2" customFormat="true" ht="22.5" customHeight="true" spans="1:7">
      <c r="A1221" s="6">
        <f>1219</f>
        <v>1219</v>
      </c>
      <c r="B1221" s="6" t="s">
        <v>1244</v>
      </c>
      <c r="C1221" s="6" t="s">
        <v>9</v>
      </c>
      <c r="D1221" s="6" t="s">
        <v>122</v>
      </c>
      <c r="E1221" s="6" t="s">
        <v>17</v>
      </c>
      <c r="F1221" s="6">
        <v>2</v>
      </c>
      <c r="G1221" s="6">
        <v>1254</v>
      </c>
    </row>
    <row r="1222" s="2" customFormat="true" ht="22.5" customHeight="true" spans="1:7">
      <c r="A1222" s="6">
        <f>1220</f>
        <v>1220</v>
      </c>
      <c r="B1222" s="6" t="s">
        <v>1245</v>
      </c>
      <c r="C1222" s="6" t="s">
        <v>9</v>
      </c>
      <c r="D1222" s="6" t="s">
        <v>188</v>
      </c>
      <c r="E1222" s="6" t="s">
        <v>17</v>
      </c>
      <c r="F1222" s="6">
        <v>2</v>
      </c>
      <c r="G1222" s="6">
        <v>1281</v>
      </c>
    </row>
    <row r="1223" s="2" customFormat="true" ht="22.5" customHeight="true" spans="1:7">
      <c r="A1223" s="6">
        <f>1221</f>
        <v>1221</v>
      </c>
      <c r="B1223" s="6" t="s">
        <v>1246</v>
      </c>
      <c r="C1223" s="6" t="s">
        <v>9</v>
      </c>
      <c r="D1223" s="6" t="s">
        <v>146</v>
      </c>
      <c r="E1223" s="6" t="s">
        <v>17</v>
      </c>
      <c r="F1223" s="6">
        <v>3</v>
      </c>
      <c r="G1223" s="6">
        <v>1805</v>
      </c>
    </row>
    <row r="1224" s="2" customFormat="true" ht="22.5" customHeight="true" spans="1:7">
      <c r="A1224" s="6">
        <f>1222</f>
        <v>1222</v>
      </c>
      <c r="B1224" s="6" t="s">
        <v>656</v>
      </c>
      <c r="C1224" s="6" t="s">
        <v>9</v>
      </c>
      <c r="D1224" s="6" t="s">
        <v>167</v>
      </c>
      <c r="E1224" s="6" t="s">
        <v>11</v>
      </c>
      <c r="F1224" s="6">
        <v>5</v>
      </c>
      <c r="G1224" s="6">
        <v>2669</v>
      </c>
    </row>
    <row r="1225" s="2" customFormat="true" ht="22.5" customHeight="true" spans="1:7">
      <c r="A1225" s="6">
        <f>1223</f>
        <v>1223</v>
      </c>
      <c r="B1225" s="6" t="s">
        <v>1247</v>
      </c>
      <c r="C1225" s="6" t="s">
        <v>9</v>
      </c>
      <c r="D1225" s="6" t="s">
        <v>159</v>
      </c>
      <c r="E1225" s="6" t="s">
        <v>17</v>
      </c>
      <c r="F1225" s="6">
        <v>4</v>
      </c>
      <c r="G1225" s="6">
        <v>2050</v>
      </c>
    </row>
    <row r="1226" s="2" customFormat="true" ht="22.5" customHeight="true" spans="1:7">
      <c r="A1226" s="6">
        <f>1224</f>
        <v>1224</v>
      </c>
      <c r="B1226" s="6" t="s">
        <v>1248</v>
      </c>
      <c r="C1226" s="6" t="s">
        <v>15</v>
      </c>
      <c r="D1226" s="6" t="s">
        <v>260</v>
      </c>
      <c r="E1226" s="6" t="s">
        <v>17</v>
      </c>
      <c r="F1226" s="6">
        <v>2</v>
      </c>
      <c r="G1226" s="6">
        <v>1061</v>
      </c>
    </row>
    <row r="1227" s="2" customFormat="true" ht="22.5" customHeight="true" spans="1:7">
      <c r="A1227" s="6">
        <f>1225</f>
        <v>1225</v>
      </c>
      <c r="B1227" s="6" t="s">
        <v>1249</v>
      </c>
      <c r="C1227" s="6" t="s">
        <v>15</v>
      </c>
      <c r="D1227" s="6" t="s">
        <v>260</v>
      </c>
      <c r="E1227" s="6" t="s">
        <v>17</v>
      </c>
      <c r="F1227" s="6">
        <v>2</v>
      </c>
      <c r="G1227" s="6">
        <v>1205</v>
      </c>
    </row>
    <row r="1228" s="2" customFormat="true" ht="22.5" customHeight="true" spans="1:7">
      <c r="A1228" s="6">
        <f>1226</f>
        <v>1226</v>
      </c>
      <c r="B1228" s="6" t="s">
        <v>1250</v>
      </c>
      <c r="C1228" s="6" t="s">
        <v>9</v>
      </c>
      <c r="D1228" s="6" t="s">
        <v>188</v>
      </c>
      <c r="E1228" s="6" t="s">
        <v>17</v>
      </c>
      <c r="F1228" s="6">
        <v>2</v>
      </c>
      <c r="G1228" s="6">
        <v>1223</v>
      </c>
    </row>
    <row r="1229" s="2" customFormat="true" ht="22.5" customHeight="true" spans="1:7">
      <c r="A1229" s="6">
        <f>1227</f>
        <v>1227</v>
      </c>
      <c r="B1229" s="6" t="s">
        <v>1251</v>
      </c>
      <c r="C1229" s="6" t="s">
        <v>9</v>
      </c>
      <c r="D1229" s="6" t="s">
        <v>192</v>
      </c>
      <c r="E1229" s="6" t="s">
        <v>11</v>
      </c>
      <c r="F1229" s="6">
        <v>1</v>
      </c>
      <c r="G1229" s="6">
        <v>616</v>
      </c>
    </row>
    <row r="1230" s="2" customFormat="true" ht="22.5" customHeight="true" spans="1:7">
      <c r="A1230" s="6">
        <f>1228</f>
        <v>1228</v>
      </c>
      <c r="B1230" s="6" t="s">
        <v>1252</v>
      </c>
      <c r="C1230" s="6" t="s">
        <v>9</v>
      </c>
      <c r="D1230" s="6" t="s">
        <v>129</v>
      </c>
      <c r="E1230" s="6" t="s">
        <v>11</v>
      </c>
      <c r="F1230" s="6">
        <v>2</v>
      </c>
      <c r="G1230" s="6">
        <v>1518</v>
      </c>
    </row>
    <row r="1231" s="2" customFormat="true" ht="22.5" customHeight="true" spans="1:7">
      <c r="A1231" s="6">
        <f>1229</f>
        <v>1229</v>
      </c>
      <c r="B1231" s="6" t="s">
        <v>1253</v>
      </c>
      <c r="C1231" s="6" t="s">
        <v>9</v>
      </c>
      <c r="D1231" s="6" t="s">
        <v>143</v>
      </c>
      <c r="E1231" s="6" t="s">
        <v>17</v>
      </c>
      <c r="F1231" s="6">
        <v>2</v>
      </c>
      <c r="G1231" s="6">
        <v>1075</v>
      </c>
    </row>
    <row r="1232" s="2" customFormat="true" ht="22.5" customHeight="true" spans="1:7">
      <c r="A1232" s="6">
        <f>1230</f>
        <v>1230</v>
      </c>
      <c r="B1232" s="6" t="s">
        <v>1254</v>
      </c>
      <c r="C1232" s="6" t="s">
        <v>9</v>
      </c>
      <c r="D1232" s="6" t="s">
        <v>10</v>
      </c>
      <c r="E1232" s="6" t="s">
        <v>11</v>
      </c>
      <c r="F1232" s="6">
        <v>2</v>
      </c>
      <c r="G1232" s="6">
        <v>1224</v>
      </c>
    </row>
    <row r="1233" s="2" customFormat="true" ht="22.5" customHeight="true" spans="1:7">
      <c r="A1233" s="6">
        <f>1231</f>
        <v>1231</v>
      </c>
      <c r="B1233" s="6" t="s">
        <v>1255</v>
      </c>
      <c r="C1233" s="6" t="s">
        <v>9</v>
      </c>
      <c r="D1233" s="6" t="s">
        <v>129</v>
      </c>
      <c r="E1233" s="6" t="s">
        <v>11</v>
      </c>
      <c r="F1233" s="6">
        <v>5</v>
      </c>
      <c r="G1233" s="6">
        <v>3318</v>
      </c>
    </row>
    <row r="1234" s="2" customFormat="true" ht="22.5" customHeight="true" spans="1:7">
      <c r="A1234" s="6">
        <f>1232</f>
        <v>1232</v>
      </c>
      <c r="B1234" s="6" t="s">
        <v>1256</v>
      </c>
      <c r="C1234" s="6" t="s">
        <v>9</v>
      </c>
      <c r="D1234" s="6" t="s">
        <v>169</v>
      </c>
      <c r="E1234" s="6" t="s">
        <v>11</v>
      </c>
      <c r="F1234" s="6">
        <v>4</v>
      </c>
      <c r="G1234" s="6">
        <v>2201</v>
      </c>
    </row>
    <row r="1235" s="2" customFormat="true" ht="22.5" customHeight="true" spans="1:7">
      <c r="A1235" s="6">
        <f>1233</f>
        <v>1233</v>
      </c>
      <c r="B1235" s="6" t="s">
        <v>1257</v>
      </c>
      <c r="C1235" s="6" t="s">
        <v>9</v>
      </c>
      <c r="D1235" s="6" t="s">
        <v>122</v>
      </c>
      <c r="E1235" s="6" t="s">
        <v>17</v>
      </c>
      <c r="F1235" s="6">
        <v>3</v>
      </c>
      <c r="G1235" s="6">
        <v>1805</v>
      </c>
    </row>
    <row r="1236" s="2" customFormat="true" ht="22.5" customHeight="true" spans="1:7">
      <c r="A1236" s="6">
        <f>1234</f>
        <v>1234</v>
      </c>
      <c r="B1236" s="6" t="s">
        <v>1258</v>
      </c>
      <c r="C1236" s="6" t="s">
        <v>15</v>
      </c>
      <c r="D1236" s="6" t="s">
        <v>239</v>
      </c>
      <c r="E1236" s="6" t="s">
        <v>17</v>
      </c>
      <c r="F1236" s="6">
        <v>1</v>
      </c>
      <c r="G1236" s="6">
        <v>676</v>
      </c>
    </row>
    <row r="1237" s="2" customFormat="true" ht="22.5" customHeight="true" spans="1:7">
      <c r="A1237" s="6">
        <f>1235</f>
        <v>1235</v>
      </c>
      <c r="B1237" s="6" t="s">
        <v>1259</v>
      </c>
      <c r="C1237" s="6" t="s">
        <v>15</v>
      </c>
      <c r="D1237" s="6" t="s">
        <v>136</v>
      </c>
      <c r="E1237" s="6" t="s">
        <v>17</v>
      </c>
      <c r="F1237" s="6">
        <v>1</v>
      </c>
      <c r="G1237" s="6">
        <v>706</v>
      </c>
    </row>
    <row r="1238" s="2" customFormat="true" ht="22.5" customHeight="true" spans="1:7">
      <c r="A1238" s="6">
        <f>1236</f>
        <v>1236</v>
      </c>
      <c r="B1238" s="6" t="s">
        <v>1260</v>
      </c>
      <c r="C1238" s="6" t="s">
        <v>9</v>
      </c>
      <c r="D1238" s="6" t="s">
        <v>146</v>
      </c>
      <c r="E1238" s="6" t="s">
        <v>11</v>
      </c>
      <c r="F1238" s="6">
        <v>1</v>
      </c>
      <c r="G1238" s="6">
        <v>726</v>
      </c>
    </row>
    <row r="1239" s="2" customFormat="true" ht="22.5" customHeight="true" spans="1:7">
      <c r="A1239" s="6">
        <f>1237</f>
        <v>1237</v>
      </c>
      <c r="B1239" s="6" t="s">
        <v>1261</v>
      </c>
      <c r="C1239" s="6" t="s">
        <v>15</v>
      </c>
      <c r="D1239" s="6" t="s">
        <v>159</v>
      </c>
      <c r="E1239" s="6" t="s">
        <v>11</v>
      </c>
      <c r="F1239" s="6">
        <v>1</v>
      </c>
      <c r="G1239" s="6">
        <v>631</v>
      </c>
    </row>
    <row r="1240" s="2" customFormat="true" ht="22.5" customHeight="true" spans="1:7">
      <c r="A1240" s="6">
        <f>1238</f>
        <v>1238</v>
      </c>
      <c r="B1240" s="6" t="s">
        <v>1262</v>
      </c>
      <c r="C1240" s="6" t="s">
        <v>15</v>
      </c>
      <c r="D1240" s="6" t="s">
        <v>143</v>
      </c>
      <c r="E1240" s="6" t="s">
        <v>11</v>
      </c>
      <c r="F1240" s="6">
        <v>1</v>
      </c>
      <c r="G1240" s="6">
        <v>631</v>
      </c>
    </row>
    <row r="1241" s="2" customFormat="true" ht="22.5" customHeight="true" spans="1:7">
      <c r="A1241" s="6">
        <f>1239</f>
        <v>1239</v>
      </c>
      <c r="B1241" s="6" t="s">
        <v>1263</v>
      </c>
      <c r="C1241" s="6" t="s">
        <v>9</v>
      </c>
      <c r="D1241" s="6" t="s">
        <v>129</v>
      </c>
      <c r="E1241" s="6" t="s">
        <v>11</v>
      </c>
      <c r="F1241" s="6">
        <v>2</v>
      </c>
      <c r="G1241" s="6">
        <v>1552</v>
      </c>
    </row>
    <row r="1242" s="2" customFormat="true" ht="22.5" customHeight="true" spans="1:7">
      <c r="A1242" s="6">
        <f>1240</f>
        <v>1240</v>
      </c>
      <c r="B1242" s="6" t="s">
        <v>1264</v>
      </c>
      <c r="C1242" s="6" t="s">
        <v>9</v>
      </c>
      <c r="D1242" s="6" t="s">
        <v>149</v>
      </c>
      <c r="E1242" s="6" t="s">
        <v>17</v>
      </c>
      <c r="F1242" s="6">
        <v>1</v>
      </c>
      <c r="G1242" s="6">
        <v>631</v>
      </c>
    </row>
    <row r="1243" s="2" customFormat="true" ht="22.5" customHeight="true" spans="1:7">
      <c r="A1243" s="6">
        <f>1241</f>
        <v>1241</v>
      </c>
      <c r="B1243" s="6" t="s">
        <v>1265</v>
      </c>
      <c r="C1243" s="6" t="s">
        <v>9</v>
      </c>
      <c r="D1243" s="6" t="s">
        <v>270</v>
      </c>
      <c r="E1243" s="6" t="s">
        <v>17</v>
      </c>
      <c r="F1243" s="6">
        <v>2</v>
      </c>
      <c r="G1243" s="6">
        <v>1470</v>
      </c>
    </row>
    <row r="1244" s="2" customFormat="true" ht="22.5" customHeight="true" spans="1:7">
      <c r="A1244" s="6">
        <f>1242</f>
        <v>1242</v>
      </c>
      <c r="B1244" s="6" t="s">
        <v>1266</v>
      </c>
      <c r="C1244" s="6" t="s">
        <v>15</v>
      </c>
      <c r="D1244" s="6" t="s">
        <v>161</v>
      </c>
      <c r="E1244" s="6" t="s">
        <v>11</v>
      </c>
      <c r="F1244" s="6">
        <v>1</v>
      </c>
      <c r="G1244" s="6">
        <v>606</v>
      </c>
    </row>
    <row r="1245" s="2" customFormat="true" ht="22.5" customHeight="true" spans="1:7">
      <c r="A1245" s="6">
        <f>1243</f>
        <v>1243</v>
      </c>
      <c r="B1245" s="6" t="s">
        <v>1267</v>
      </c>
      <c r="C1245" s="6" t="s">
        <v>9</v>
      </c>
      <c r="D1245" s="6" t="s">
        <v>131</v>
      </c>
      <c r="E1245" s="6" t="s">
        <v>17</v>
      </c>
      <c r="F1245" s="6">
        <v>1</v>
      </c>
      <c r="G1245" s="6">
        <v>723</v>
      </c>
    </row>
    <row r="1246" s="2" customFormat="true" ht="22.5" customHeight="true" spans="1:7">
      <c r="A1246" s="6">
        <f>1244</f>
        <v>1244</v>
      </c>
      <c r="B1246" s="6" t="s">
        <v>1268</v>
      </c>
      <c r="C1246" s="6" t="s">
        <v>9</v>
      </c>
      <c r="D1246" s="6" t="s">
        <v>122</v>
      </c>
      <c r="E1246" s="6" t="s">
        <v>17</v>
      </c>
      <c r="F1246" s="6">
        <v>1</v>
      </c>
      <c r="G1246" s="6">
        <v>602</v>
      </c>
    </row>
    <row r="1247" s="2" customFormat="true" ht="22.5" customHeight="true" spans="1:7">
      <c r="A1247" s="6">
        <f>1245</f>
        <v>1245</v>
      </c>
      <c r="B1247" s="6" t="s">
        <v>1269</v>
      </c>
      <c r="C1247" s="6" t="s">
        <v>15</v>
      </c>
      <c r="D1247" s="6" t="s">
        <v>270</v>
      </c>
      <c r="E1247" s="6" t="s">
        <v>17</v>
      </c>
      <c r="F1247" s="6">
        <v>2</v>
      </c>
      <c r="G1247" s="6">
        <v>1470</v>
      </c>
    </row>
    <row r="1248" s="2" customFormat="true" ht="22.5" customHeight="true" spans="1:7">
      <c r="A1248" s="6">
        <f>1246</f>
        <v>1246</v>
      </c>
      <c r="B1248" s="6" t="s">
        <v>1270</v>
      </c>
      <c r="C1248" s="6" t="s">
        <v>15</v>
      </c>
      <c r="D1248" s="6" t="s">
        <v>133</v>
      </c>
      <c r="E1248" s="6" t="s">
        <v>17</v>
      </c>
      <c r="F1248" s="6">
        <v>1</v>
      </c>
      <c r="G1248" s="6">
        <v>631</v>
      </c>
    </row>
    <row r="1249" s="2" customFormat="true" ht="22.5" customHeight="true" spans="1:7">
      <c r="A1249" s="6">
        <f>1247</f>
        <v>1247</v>
      </c>
      <c r="B1249" s="6" t="s">
        <v>1271</v>
      </c>
      <c r="C1249" s="6" t="s">
        <v>9</v>
      </c>
      <c r="D1249" s="6" t="s">
        <v>180</v>
      </c>
      <c r="E1249" s="6" t="s">
        <v>11</v>
      </c>
      <c r="F1249" s="6">
        <v>1</v>
      </c>
      <c r="G1249" s="6">
        <v>776</v>
      </c>
    </row>
    <row r="1250" s="2" customFormat="true" ht="22.5" customHeight="true" spans="1:7">
      <c r="A1250" s="6">
        <f>1248</f>
        <v>1248</v>
      </c>
      <c r="B1250" s="6" t="s">
        <v>1272</v>
      </c>
      <c r="C1250" s="6" t="s">
        <v>9</v>
      </c>
      <c r="D1250" s="6" t="s">
        <v>149</v>
      </c>
      <c r="E1250" s="6" t="s">
        <v>11</v>
      </c>
      <c r="F1250" s="6">
        <v>2</v>
      </c>
      <c r="G1250" s="6">
        <v>1232</v>
      </c>
    </row>
    <row r="1251" s="2" customFormat="true" ht="22.5" customHeight="true" spans="1:7">
      <c r="A1251" s="6">
        <f>1249</f>
        <v>1249</v>
      </c>
      <c r="B1251" s="6" t="s">
        <v>1273</v>
      </c>
      <c r="C1251" s="6" t="s">
        <v>9</v>
      </c>
      <c r="D1251" s="6" t="s">
        <v>149</v>
      </c>
      <c r="E1251" s="6" t="s">
        <v>11</v>
      </c>
      <c r="F1251" s="6">
        <v>2</v>
      </c>
      <c r="G1251" s="6">
        <v>1175</v>
      </c>
    </row>
    <row r="1252" s="2" customFormat="true" ht="22.5" customHeight="true" spans="1:7">
      <c r="A1252" s="6">
        <f>1250</f>
        <v>1250</v>
      </c>
      <c r="B1252" s="6" t="s">
        <v>1274</v>
      </c>
      <c r="C1252" s="6" t="s">
        <v>9</v>
      </c>
      <c r="D1252" s="6" t="s">
        <v>270</v>
      </c>
      <c r="E1252" s="6" t="s">
        <v>11</v>
      </c>
      <c r="F1252" s="6">
        <v>1</v>
      </c>
      <c r="G1252" s="6">
        <v>676</v>
      </c>
    </row>
    <row r="1253" s="2" customFormat="true" ht="22.5" customHeight="true" spans="1:7">
      <c r="A1253" s="6">
        <f>1251</f>
        <v>1251</v>
      </c>
      <c r="B1253" s="6" t="s">
        <v>1275</v>
      </c>
      <c r="C1253" s="6" t="s">
        <v>9</v>
      </c>
      <c r="D1253" s="6" t="s">
        <v>169</v>
      </c>
      <c r="E1253" s="6" t="s">
        <v>11</v>
      </c>
      <c r="F1253" s="6">
        <v>3</v>
      </c>
      <c r="G1253" s="6">
        <v>1784</v>
      </c>
    </row>
    <row r="1254" s="2" customFormat="true" ht="22.5" customHeight="true" spans="1:7">
      <c r="A1254" s="6">
        <f>1252</f>
        <v>1252</v>
      </c>
      <c r="B1254" s="6" t="s">
        <v>1276</v>
      </c>
      <c r="C1254" s="6" t="s">
        <v>15</v>
      </c>
      <c r="D1254" s="6" t="s">
        <v>270</v>
      </c>
      <c r="E1254" s="6" t="s">
        <v>11</v>
      </c>
      <c r="F1254" s="6">
        <v>1</v>
      </c>
      <c r="G1254" s="6">
        <v>776</v>
      </c>
    </row>
    <row r="1255" s="2" customFormat="true" ht="22.5" customHeight="true" spans="1:7">
      <c r="A1255" s="6">
        <f>1253</f>
        <v>1253</v>
      </c>
      <c r="B1255" s="6" t="s">
        <v>1277</v>
      </c>
      <c r="C1255" s="6" t="s">
        <v>9</v>
      </c>
      <c r="D1255" s="6" t="s">
        <v>161</v>
      </c>
      <c r="E1255" s="6" t="s">
        <v>11</v>
      </c>
      <c r="F1255" s="6">
        <v>1</v>
      </c>
      <c r="G1255" s="6">
        <v>606</v>
      </c>
    </row>
    <row r="1256" s="2" customFormat="true" ht="22.5" customHeight="true" spans="1:7">
      <c r="A1256" s="6">
        <f>1254</f>
        <v>1254</v>
      </c>
      <c r="B1256" s="6" t="s">
        <v>1278</v>
      </c>
      <c r="C1256" s="6" t="s">
        <v>9</v>
      </c>
      <c r="D1256" s="6" t="s">
        <v>169</v>
      </c>
      <c r="E1256" s="6" t="s">
        <v>17</v>
      </c>
      <c r="F1256" s="6">
        <v>2</v>
      </c>
      <c r="G1256" s="6">
        <v>1280</v>
      </c>
    </row>
    <row r="1257" s="2" customFormat="true" ht="22.5" customHeight="true" spans="1:7">
      <c r="A1257" s="6">
        <f>1255</f>
        <v>1255</v>
      </c>
      <c r="B1257" s="6" t="s">
        <v>1279</v>
      </c>
      <c r="C1257" s="6" t="s">
        <v>9</v>
      </c>
      <c r="D1257" s="6" t="s">
        <v>260</v>
      </c>
      <c r="E1257" s="6" t="s">
        <v>17</v>
      </c>
      <c r="F1257" s="6">
        <v>2</v>
      </c>
      <c r="G1257" s="6">
        <v>1232</v>
      </c>
    </row>
    <row r="1258" s="2" customFormat="true" ht="22.5" customHeight="true" spans="1:7">
      <c r="A1258" s="6">
        <f>1256</f>
        <v>1256</v>
      </c>
      <c r="B1258" s="6" t="s">
        <v>1280</v>
      </c>
      <c r="C1258" s="6" t="s">
        <v>9</v>
      </c>
      <c r="D1258" s="6" t="s">
        <v>159</v>
      </c>
      <c r="E1258" s="6" t="s">
        <v>17</v>
      </c>
      <c r="F1258" s="6">
        <v>2</v>
      </c>
      <c r="G1258" s="6">
        <v>1330</v>
      </c>
    </row>
    <row r="1259" s="2" customFormat="true" ht="22.5" customHeight="true" spans="1:7">
      <c r="A1259" s="6">
        <f>1257</f>
        <v>1257</v>
      </c>
      <c r="B1259" s="6" t="s">
        <v>1281</v>
      </c>
      <c r="C1259" s="6" t="s">
        <v>9</v>
      </c>
      <c r="D1259" s="6" t="s">
        <v>169</v>
      </c>
      <c r="E1259" s="6" t="s">
        <v>11</v>
      </c>
      <c r="F1259" s="6">
        <v>2</v>
      </c>
      <c r="G1259" s="6">
        <v>1175</v>
      </c>
    </row>
    <row r="1260" s="2" customFormat="true" ht="22.5" customHeight="true" spans="1:7">
      <c r="A1260" s="6">
        <f>1258</f>
        <v>1258</v>
      </c>
      <c r="B1260" s="6" t="s">
        <v>1282</v>
      </c>
      <c r="C1260" s="6" t="s">
        <v>9</v>
      </c>
      <c r="D1260" s="6" t="s">
        <v>122</v>
      </c>
      <c r="E1260" s="6" t="s">
        <v>17</v>
      </c>
      <c r="F1260" s="6">
        <v>1</v>
      </c>
      <c r="G1260" s="6">
        <v>666</v>
      </c>
    </row>
    <row r="1261" s="2" customFormat="true" ht="22.5" customHeight="true" spans="1:7">
      <c r="A1261" s="6">
        <f>1259</f>
        <v>1259</v>
      </c>
      <c r="B1261" s="6" t="s">
        <v>1283</v>
      </c>
      <c r="C1261" s="6" t="s">
        <v>9</v>
      </c>
      <c r="D1261" s="6" t="s">
        <v>167</v>
      </c>
      <c r="E1261" s="6" t="s">
        <v>17</v>
      </c>
      <c r="F1261" s="6">
        <v>2</v>
      </c>
      <c r="G1261" s="6">
        <v>1223</v>
      </c>
    </row>
    <row r="1262" s="2" customFormat="true" ht="22.5" customHeight="true" spans="1:7">
      <c r="A1262" s="6">
        <f>1260</f>
        <v>1260</v>
      </c>
      <c r="B1262" s="6" t="s">
        <v>1284</v>
      </c>
      <c r="C1262" s="6" t="s">
        <v>9</v>
      </c>
      <c r="D1262" s="6" t="s">
        <v>129</v>
      </c>
      <c r="E1262" s="6" t="s">
        <v>11</v>
      </c>
      <c r="F1262" s="6">
        <v>1</v>
      </c>
      <c r="G1262" s="6">
        <v>619</v>
      </c>
    </row>
    <row r="1263" s="2" customFormat="true" ht="22.5" customHeight="true" spans="1:7">
      <c r="A1263" s="6">
        <f>1261</f>
        <v>1261</v>
      </c>
      <c r="B1263" s="6" t="s">
        <v>1285</v>
      </c>
      <c r="C1263" s="6" t="s">
        <v>9</v>
      </c>
      <c r="D1263" s="6" t="s">
        <v>161</v>
      </c>
      <c r="E1263" s="6" t="s">
        <v>11</v>
      </c>
      <c r="F1263" s="6">
        <v>1</v>
      </c>
      <c r="G1263" s="6">
        <v>507</v>
      </c>
    </row>
    <row r="1264" s="2" customFormat="true" ht="22.5" customHeight="true" spans="1:7">
      <c r="A1264" s="6">
        <f>1262</f>
        <v>1262</v>
      </c>
      <c r="B1264" s="6" t="s">
        <v>1286</v>
      </c>
      <c r="C1264" s="6" t="s">
        <v>9</v>
      </c>
      <c r="D1264" s="6" t="s">
        <v>143</v>
      </c>
      <c r="E1264" s="6" t="s">
        <v>17</v>
      </c>
      <c r="F1264" s="6">
        <v>2</v>
      </c>
      <c r="G1264" s="6">
        <v>1193</v>
      </c>
    </row>
    <row r="1265" s="2" customFormat="true" ht="22.5" customHeight="true" spans="1:7">
      <c r="A1265" s="6">
        <f>1263</f>
        <v>1263</v>
      </c>
      <c r="B1265" s="6" t="s">
        <v>1287</v>
      </c>
      <c r="C1265" s="6" t="s">
        <v>9</v>
      </c>
      <c r="D1265" s="6" t="s">
        <v>122</v>
      </c>
      <c r="E1265" s="6" t="s">
        <v>17</v>
      </c>
      <c r="F1265" s="6">
        <v>2</v>
      </c>
      <c r="G1265" s="6">
        <v>1223</v>
      </c>
    </row>
    <row r="1266" s="2" customFormat="true" ht="22.5" customHeight="true" spans="1:7">
      <c r="A1266" s="6">
        <f>1264</f>
        <v>1264</v>
      </c>
      <c r="B1266" s="6" t="s">
        <v>1288</v>
      </c>
      <c r="C1266" s="6" t="s">
        <v>9</v>
      </c>
      <c r="D1266" s="6" t="s">
        <v>280</v>
      </c>
      <c r="E1266" s="6" t="s">
        <v>11</v>
      </c>
      <c r="F1266" s="6">
        <v>1</v>
      </c>
      <c r="G1266" s="6">
        <v>619</v>
      </c>
    </row>
    <row r="1267" s="2" customFormat="true" ht="22.5" customHeight="true" spans="1:7">
      <c r="A1267" s="6">
        <f>1265</f>
        <v>1265</v>
      </c>
      <c r="B1267" s="6" t="s">
        <v>1289</v>
      </c>
      <c r="C1267" s="6" t="s">
        <v>9</v>
      </c>
      <c r="D1267" s="6" t="s">
        <v>149</v>
      </c>
      <c r="E1267" s="6" t="s">
        <v>11</v>
      </c>
      <c r="F1267" s="6">
        <v>2</v>
      </c>
      <c r="G1267" s="6">
        <v>1118</v>
      </c>
    </row>
    <row r="1268" s="2" customFormat="true" ht="22.5" customHeight="true" spans="1:7">
      <c r="A1268" s="6">
        <f>1266</f>
        <v>1266</v>
      </c>
      <c r="B1268" s="6" t="s">
        <v>1290</v>
      </c>
      <c r="C1268" s="6" t="s">
        <v>9</v>
      </c>
      <c r="D1268" s="6" t="s">
        <v>159</v>
      </c>
      <c r="E1268" s="6" t="s">
        <v>11</v>
      </c>
      <c r="F1268" s="6">
        <v>1</v>
      </c>
      <c r="G1268" s="6">
        <v>579</v>
      </c>
    </row>
    <row r="1269" s="2" customFormat="true" ht="22.5" customHeight="true" spans="1:7">
      <c r="A1269" s="6">
        <f>1267</f>
        <v>1267</v>
      </c>
      <c r="B1269" s="6" t="s">
        <v>1291</v>
      </c>
      <c r="C1269" s="6" t="s">
        <v>9</v>
      </c>
      <c r="D1269" s="6" t="s">
        <v>239</v>
      </c>
      <c r="E1269" s="6" t="s">
        <v>17</v>
      </c>
      <c r="F1269" s="6">
        <v>2</v>
      </c>
      <c r="G1269" s="6">
        <v>1074</v>
      </c>
    </row>
    <row r="1270" s="2" customFormat="true" ht="22.5" customHeight="true" spans="1:7">
      <c r="A1270" s="6">
        <f>1268</f>
        <v>1268</v>
      </c>
      <c r="B1270" s="6" t="s">
        <v>1292</v>
      </c>
      <c r="C1270" s="6" t="s">
        <v>9</v>
      </c>
      <c r="D1270" s="6" t="s">
        <v>143</v>
      </c>
      <c r="E1270" s="6" t="s">
        <v>17</v>
      </c>
      <c r="F1270" s="6">
        <v>2</v>
      </c>
      <c r="G1270" s="6">
        <v>1193</v>
      </c>
    </row>
    <row r="1271" s="2" customFormat="true" ht="22.5" customHeight="true" spans="1:7">
      <c r="A1271" s="6">
        <f>1269</f>
        <v>1269</v>
      </c>
      <c r="B1271" s="6" t="s">
        <v>1293</v>
      </c>
      <c r="C1271" s="6" t="s">
        <v>9</v>
      </c>
      <c r="D1271" s="6" t="s">
        <v>159</v>
      </c>
      <c r="E1271" s="6" t="s">
        <v>11</v>
      </c>
      <c r="F1271" s="6">
        <v>1</v>
      </c>
      <c r="G1271" s="6">
        <v>574</v>
      </c>
    </row>
    <row r="1272" s="2" customFormat="true" ht="22.5" customHeight="true" spans="1:7">
      <c r="A1272" s="6">
        <f>1270</f>
        <v>1270</v>
      </c>
      <c r="B1272" s="6" t="s">
        <v>1294</v>
      </c>
      <c r="C1272" s="6" t="s">
        <v>9</v>
      </c>
      <c r="D1272" s="6" t="s">
        <v>270</v>
      </c>
      <c r="E1272" s="6" t="s">
        <v>17</v>
      </c>
      <c r="F1272" s="6">
        <v>1</v>
      </c>
      <c r="G1272" s="6">
        <v>737</v>
      </c>
    </row>
    <row r="1273" s="2" customFormat="true" ht="22.5" customHeight="true" spans="1:7">
      <c r="A1273" s="6">
        <f>1271</f>
        <v>1271</v>
      </c>
      <c r="B1273" s="6" t="s">
        <v>1295</v>
      </c>
      <c r="C1273" s="6" t="s">
        <v>9</v>
      </c>
      <c r="D1273" s="6" t="s">
        <v>167</v>
      </c>
      <c r="E1273" s="6" t="s">
        <v>11</v>
      </c>
      <c r="F1273" s="6">
        <v>2</v>
      </c>
      <c r="G1273" s="6">
        <v>1148</v>
      </c>
    </row>
    <row r="1274" s="2" customFormat="true" ht="22.5" customHeight="true" spans="1:7">
      <c r="A1274" s="6">
        <f>1272</f>
        <v>1272</v>
      </c>
      <c r="B1274" s="6" t="s">
        <v>1296</v>
      </c>
      <c r="C1274" s="6" t="s">
        <v>9</v>
      </c>
      <c r="D1274" s="6" t="s">
        <v>167</v>
      </c>
      <c r="E1274" s="6" t="s">
        <v>17</v>
      </c>
      <c r="F1274" s="6">
        <v>2</v>
      </c>
      <c r="G1274" s="6">
        <v>1223</v>
      </c>
    </row>
    <row r="1275" s="2" customFormat="true" ht="22.5" customHeight="true" spans="1:7">
      <c r="A1275" s="6">
        <f>1273</f>
        <v>1273</v>
      </c>
      <c r="B1275" s="6" t="s">
        <v>1297</v>
      </c>
      <c r="C1275" s="6" t="s">
        <v>9</v>
      </c>
      <c r="D1275" s="6" t="s">
        <v>280</v>
      </c>
      <c r="E1275" s="6" t="s">
        <v>17</v>
      </c>
      <c r="F1275" s="6">
        <v>2</v>
      </c>
      <c r="G1275" s="6">
        <v>1238</v>
      </c>
    </row>
    <row r="1276" s="2" customFormat="true" ht="22.5" customHeight="true" spans="1:7">
      <c r="A1276" s="6">
        <f>1274</f>
        <v>1274</v>
      </c>
      <c r="B1276" s="6" t="s">
        <v>1298</v>
      </c>
      <c r="C1276" s="6" t="s">
        <v>9</v>
      </c>
      <c r="D1276" s="6" t="s">
        <v>159</v>
      </c>
      <c r="E1276" s="6" t="s">
        <v>17</v>
      </c>
      <c r="F1276" s="6">
        <v>2</v>
      </c>
      <c r="G1276" s="6">
        <v>1136</v>
      </c>
    </row>
    <row r="1277" s="2" customFormat="true" ht="22.5" customHeight="true" spans="1:7">
      <c r="A1277" s="6">
        <f>1275</f>
        <v>1275</v>
      </c>
      <c r="B1277" s="6" t="s">
        <v>1299</v>
      </c>
      <c r="C1277" s="6" t="s">
        <v>9</v>
      </c>
      <c r="D1277" s="6" t="s">
        <v>222</v>
      </c>
      <c r="E1277" s="6" t="s">
        <v>17</v>
      </c>
      <c r="F1277" s="6">
        <v>2</v>
      </c>
      <c r="G1277" s="6">
        <v>1236</v>
      </c>
    </row>
    <row r="1278" s="2" customFormat="true" ht="22.5" customHeight="true" spans="1:7">
      <c r="A1278" s="6">
        <f>1276</f>
        <v>1276</v>
      </c>
      <c r="B1278" s="6" t="s">
        <v>1300</v>
      </c>
      <c r="C1278" s="6" t="s">
        <v>9</v>
      </c>
      <c r="D1278" s="6" t="s">
        <v>169</v>
      </c>
      <c r="E1278" s="6" t="s">
        <v>11</v>
      </c>
      <c r="F1278" s="6">
        <v>1</v>
      </c>
      <c r="G1278" s="6">
        <v>574</v>
      </c>
    </row>
    <row r="1279" s="2" customFormat="true" ht="22.5" customHeight="true" spans="1:7">
      <c r="A1279" s="6">
        <f>1277</f>
        <v>1277</v>
      </c>
      <c r="B1279" s="6" t="s">
        <v>1301</v>
      </c>
      <c r="C1279" s="6" t="s">
        <v>15</v>
      </c>
      <c r="D1279" s="6" t="s">
        <v>270</v>
      </c>
      <c r="E1279" s="6" t="s">
        <v>17</v>
      </c>
      <c r="F1279" s="6">
        <v>1</v>
      </c>
      <c r="G1279" s="6">
        <v>744</v>
      </c>
    </row>
    <row r="1280" s="2" customFormat="true" ht="22.5" customHeight="true" spans="1:7">
      <c r="A1280" s="6">
        <f>1278</f>
        <v>1278</v>
      </c>
      <c r="B1280" s="6" t="s">
        <v>1302</v>
      </c>
      <c r="C1280" s="6" t="s">
        <v>9</v>
      </c>
      <c r="D1280" s="6" t="s">
        <v>122</v>
      </c>
      <c r="E1280" s="6" t="s">
        <v>11</v>
      </c>
      <c r="F1280" s="6">
        <v>1</v>
      </c>
      <c r="G1280" s="6">
        <v>619</v>
      </c>
    </row>
    <row r="1281" s="2" customFormat="true" ht="22.5" customHeight="true" spans="1:7">
      <c r="A1281" s="6">
        <f>1279</f>
        <v>1279</v>
      </c>
      <c r="B1281" s="6" t="s">
        <v>1303</v>
      </c>
      <c r="C1281" s="6" t="s">
        <v>15</v>
      </c>
      <c r="D1281" s="6" t="s">
        <v>167</v>
      </c>
      <c r="E1281" s="6" t="s">
        <v>11</v>
      </c>
      <c r="F1281" s="6">
        <v>1</v>
      </c>
      <c r="G1281" s="6">
        <v>579</v>
      </c>
    </row>
    <row r="1282" s="2" customFormat="true" ht="22.5" customHeight="true" spans="1:7">
      <c r="A1282" s="6">
        <f>1280</f>
        <v>1280</v>
      </c>
      <c r="B1282" s="6" t="s">
        <v>1304</v>
      </c>
      <c r="C1282" s="6" t="s">
        <v>9</v>
      </c>
      <c r="D1282" s="6" t="s">
        <v>133</v>
      </c>
      <c r="E1282" s="6" t="s">
        <v>17</v>
      </c>
      <c r="F1282" s="6">
        <v>2</v>
      </c>
      <c r="G1282" s="6">
        <v>1194</v>
      </c>
    </row>
    <row r="1283" s="2" customFormat="true" ht="22.5" customHeight="true" spans="1:7">
      <c r="A1283" s="6">
        <f>1281</f>
        <v>1281</v>
      </c>
      <c r="B1283" s="6" t="s">
        <v>1305</v>
      </c>
      <c r="C1283" s="6" t="s">
        <v>15</v>
      </c>
      <c r="D1283" s="6" t="s">
        <v>164</v>
      </c>
      <c r="E1283" s="6" t="s">
        <v>11</v>
      </c>
      <c r="F1283" s="6">
        <v>1</v>
      </c>
      <c r="G1283" s="6">
        <v>769</v>
      </c>
    </row>
    <row r="1284" s="2" customFormat="true" ht="22.5" customHeight="true" spans="1:7">
      <c r="A1284" s="6">
        <f>1282</f>
        <v>1282</v>
      </c>
      <c r="B1284" s="6" t="s">
        <v>1306</v>
      </c>
      <c r="C1284" s="6" t="s">
        <v>9</v>
      </c>
      <c r="D1284" s="6" t="s">
        <v>167</v>
      </c>
      <c r="E1284" s="6" t="s">
        <v>11</v>
      </c>
      <c r="F1284" s="6">
        <v>2</v>
      </c>
      <c r="G1284" s="6">
        <v>1118</v>
      </c>
    </row>
    <row r="1285" s="2" customFormat="true" ht="22.5" customHeight="true" spans="1:7">
      <c r="A1285" s="6">
        <f>1283</f>
        <v>1283</v>
      </c>
      <c r="B1285" s="6" t="s">
        <v>1307</v>
      </c>
      <c r="C1285" s="6" t="s">
        <v>9</v>
      </c>
      <c r="D1285" s="6" t="s">
        <v>188</v>
      </c>
      <c r="E1285" s="6" t="s">
        <v>17</v>
      </c>
      <c r="F1285" s="6">
        <v>1</v>
      </c>
      <c r="G1285" s="6">
        <v>507</v>
      </c>
    </row>
    <row r="1286" s="2" customFormat="true" ht="22.5" customHeight="true" spans="1:7">
      <c r="A1286" s="6">
        <f>1284</f>
        <v>1284</v>
      </c>
      <c r="B1286" s="6" t="s">
        <v>1308</v>
      </c>
      <c r="C1286" s="6" t="s">
        <v>9</v>
      </c>
      <c r="D1286" s="6" t="s">
        <v>185</v>
      </c>
      <c r="E1286" s="6" t="s">
        <v>17</v>
      </c>
      <c r="F1286" s="6">
        <v>1</v>
      </c>
      <c r="G1286" s="6">
        <v>594</v>
      </c>
    </row>
    <row r="1287" s="2" customFormat="true" ht="22.5" customHeight="true" spans="1:7">
      <c r="A1287" s="6">
        <f>1285</f>
        <v>1285</v>
      </c>
      <c r="B1287" s="6" t="s">
        <v>1309</v>
      </c>
      <c r="C1287" s="6" t="s">
        <v>9</v>
      </c>
      <c r="D1287" s="6" t="s">
        <v>161</v>
      </c>
      <c r="E1287" s="6" t="s">
        <v>17</v>
      </c>
      <c r="F1287" s="6">
        <v>2</v>
      </c>
      <c r="G1287" s="6">
        <v>1173</v>
      </c>
    </row>
    <row r="1288" s="2" customFormat="true" ht="22.5" customHeight="true" spans="1:7">
      <c r="A1288" s="6">
        <f>1286</f>
        <v>1286</v>
      </c>
      <c r="B1288" s="6" t="s">
        <v>1310</v>
      </c>
      <c r="C1288" s="6" t="s">
        <v>9</v>
      </c>
      <c r="D1288" s="6" t="s">
        <v>149</v>
      </c>
      <c r="E1288" s="6" t="s">
        <v>17</v>
      </c>
      <c r="F1288" s="6">
        <v>2</v>
      </c>
      <c r="G1288" s="6">
        <v>1193</v>
      </c>
    </row>
    <row r="1289" s="2" customFormat="true" ht="22.5" customHeight="true" spans="1:7">
      <c r="A1289" s="6">
        <f>1287</f>
        <v>1287</v>
      </c>
      <c r="B1289" s="6" t="s">
        <v>1311</v>
      </c>
      <c r="C1289" s="6" t="s">
        <v>9</v>
      </c>
      <c r="D1289" s="6" t="s">
        <v>167</v>
      </c>
      <c r="E1289" s="6" t="s">
        <v>17</v>
      </c>
      <c r="F1289" s="6">
        <v>2</v>
      </c>
      <c r="G1289" s="6">
        <v>1223</v>
      </c>
    </row>
    <row r="1290" s="2" customFormat="true" ht="22.5" customHeight="true" spans="1:7">
      <c r="A1290" s="6">
        <f>1288</f>
        <v>1288</v>
      </c>
      <c r="B1290" s="6" t="s">
        <v>1312</v>
      </c>
      <c r="C1290" s="6" t="s">
        <v>9</v>
      </c>
      <c r="D1290" s="6" t="s">
        <v>143</v>
      </c>
      <c r="E1290" s="6" t="s">
        <v>17</v>
      </c>
      <c r="F1290" s="6">
        <v>1</v>
      </c>
      <c r="G1290" s="6">
        <v>649</v>
      </c>
    </row>
    <row r="1291" s="2" customFormat="true" ht="22.5" customHeight="true" spans="1:7">
      <c r="A1291" s="6">
        <f>1289</f>
        <v>1289</v>
      </c>
      <c r="B1291" s="6" t="s">
        <v>1313</v>
      </c>
      <c r="C1291" s="6" t="s">
        <v>9</v>
      </c>
      <c r="D1291" s="6" t="s">
        <v>164</v>
      </c>
      <c r="E1291" s="6" t="s">
        <v>17</v>
      </c>
      <c r="F1291" s="6">
        <v>1</v>
      </c>
      <c r="G1291" s="6">
        <v>656</v>
      </c>
    </row>
    <row r="1292" s="2" customFormat="true" ht="22.5" customHeight="true" spans="1:7">
      <c r="A1292" s="6">
        <f>1290</f>
        <v>1290</v>
      </c>
      <c r="B1292" s="6" t="s">
        <v>1314</v>
      </c>
      <c r="C1292" s="6" t="s">
        <v>9</v>
      </c>
      <c r="D1292" s="6" t="s">
        <v>169</v>
      </c>
      <c r="E1292" s="6" t="s">
        <v>11</v>
      </c>
      <c r="F1292" s="6">
        <v>3</v>
      </c>
      <c r="G1292" s="6">
        <v>1785</v>
      </c>
    </row>
    <row r="1293" s="2" customFormat="true" ht="22.5" customHeight="true" spans="1:7">
      <c r="A1293" s="6">
        <f>1291</f>
        <v>1291</v>
      </c>
      <c r="B1293" s="6" t="s">
        <v>1315</v>
      </c>
      <c r="C1293" s="6" t="s">
        <v>15</v>
      </c>
      <c r="D1293" s="6" t="s">
        <v>185</v>
      </c>
      <c r="E1293" s="6" t="s">
        <v>17</v>
      </c>
      <c r="F1293" s="6">
        <v>1</v>
      </c>
      <c r="G1293" s="6">
        <v>724</v>
      </c>
    </row>
    <row r="1294" s="2" customFormat="true" ht="22.5" customHeight="true" spans="1:7">
      <c r="A1294" s="6">
        <f>1292</f>
        <v>1292</v>
      </c>
      <c r="B1294" s="6" t="s">
        <v>1316</v>
      </c>
      <c r="C1294" s="6" t="s">
        <v>9</v>
      </c>
      <c r="D1294" s="6" t="s">
        <v>122</v>
      </c>
      <c r="E1294" s="6" t="s">
        <v>17</v>
      </c>
      <c r="F1294" s="6">
        <v>1</v>
      </c>
      <c r="G1294" s="6">
        <v>656</v>
      </c>
    </row>
    <row r="1295" s="2" customFormat="true" ht="22.5" customHeight="true" spans="1:7">
      <c r="A1295" s="6">
        <f>1293</f>
        <v>1293</v>
      </c>
      <c r="B1295" s="6" t="s">
        <v>1317</v>
      </c>
      <c r="C1295" s="6" t="s">
        <v>9</v>
      </c>
      <c r="D1295" s="6" t="s">
        <v>169</v>
      </c>
      <c r="E1295" s="6" t="s">
        <v>17</v>
      </c>
      <c r="F1295" s="6">
        <v>2</v>
      </c>
      <c r="G1295" s="6">
        <v>1236</v>
      </c>
    </row>
    <row r="1296" s="2" customFormat="true" ht="22.5" customHeight="true" spans="1:7">
      <c r="A1296" s="6">
        <f>1294</f>
        <v>1294</v>
      </c>
      <c r="B1296" s="6" t="s">
        <v>1318</v>
      </c>
      <c r="C1296" s="6" t="s">
        <v>9</v>
      </c>
      <c r="D1296" s="6" t="s">
        <v>169</v>
      </c>
      <c r="E1296" s="6" t="s">
        <v>79</v>
      </c>
      <c r="F1296" s="6">
        <v>1</v>
      </c>
      <c r="G1296" s="6">
        <v>651</v>
      </c>
    </row>
    <row r="1297" s="2" customFormat="true" ht="22.5" customHeight="true" spans="1:7">
      <c r="A1297" s="6">
        <f>1295</f>
        <v>1295</v>
      </c>
      <c r="B1297" s="6" t="s">
        <v>1319</v>
      </c>
      <c r="C1297" s="6" t="s">
        <v>9</v>
      </c>
      <c r="D1297" s="6" t="s">
        <v>129</v>
      </c>
      <c r="E1297" s="6" t="s">
        <v>79</v>
      </c>
      <c r="F1297" s="6">
        <v>2</v>
      </c>
      <c r="G1297" s="6">
        <v>1145</v>
      </c>
    </row>
    <row r="1298" s="2" customFormat="true" ht="22.5" customHeight="true" spans="1:7">
      <c r="A1298" s="6">
        <f>1296</f>
        <v>1296</v>
      </c>
      <c r="B1298" s="6" t="s">
        <v>1320</v>
      </c>
      <c r="C1298" s="6" t="s">
        <v>9</v>
      </c>
      <c r="D1298" s="6" t="s">
        <v>180</v>
      </c>
      <c r="E1298" s="6" t="s">
        <v>17</v>
      </c>
      <c r="F1298" s="6">
        <v>2</v>
      </c>
      <c r="G1298" s="6">
        <v>1226</v>
      </c>
    </row>
    <row r="1299" s="2" customFormat="true" ht="22.5" customHeight="true" spans="1:7">
      <c r="A1299" s="6">
        <f>1297</f>
        <v>1297</v>
      </c>
      <c r="B1299" s="6" t="s">
        <v>1321</v>
      </c>
      <c r="C1299" s="6" t="s">
        <v>9</v>
      </c>
      <c r="D1299" s="6" t="s">
        <v>161</v>
      </c>
      <c r="E1299" s="6" t="s">
        <v>17</v>
      </c>
      <c r="F1299" s="6">
        <v>1</v>
      </c>
      <c r="G1299" s="6">
        <v>645</v>
      </c>
    </row>
    <row r="1300" s="2" customFormat="true" ht="22.5" customHeight="true" spans="1:7">
      <c r="A1300" s="6">
        <f>1298</f>
        <v>1298</v>
      </c>
      <c r="B1300" s="6" t="s">
        <v>1322</v>
      </c>
      <c r="C1300" s="6" t="s">
        <v>9</v>
      </c>
      <c r="D1300" s="6" t="s">
        <v>161</v>
      </c>
      <c r="E1300" s="6" t="s">
        <v>17</v>
      </c>
      <c r="F1300" s="6">
        <v>1</v>
      </c>
      <c r="G1300" s="6">
        <v>624</v>
      </c>
    </row>
    <row r="1301" s="2" customFormat="true" ht="22.5" customHeight="true" spans="1:7">
      <c r="A1301" s="6">
        <f>1299</f>
        <v>1299</v>
      </c>
      <c r="B1301" s="6" t="s">
        <v>1323</v>
      </c>
      <c r="C1301" s="6" t="s">
        <v>9</v>
      </c>
      <c r="D1301" s="6" t="s">
        <v>122</v>
      </c>
      <c r="E1301" s="6" t="s">
        <v>79</v>
      </c>
      <c r="F1301" s="6">
        <v>2</v>
      </c>
      <c r="G1301" s="6">
        <v>1284</v>
      </c>
    </row>
    <row r="1302" s="2" customFormat="true" ht="22.5" customHeight="true" spans="1:7">
      <c r="A1302" s="6">
        <f>1300</f>
        <v>1300</v>
      </c>
      <c r="B1302" s="6" t="s">
        <v>1324</v>
      </c>
      <c r="C1302" s="6" t="s">
        <v>15</v>
      </c>
      <c r="D1302" s="6" t="s">
        <v>159</v>
      </c>
      <c r="E1302" s="6" t="s">
        <v>17</v>
      </c>
      <c r="F1302" s="6">
        <v>1</v>
      </c>
      <c r="G1302" s="6">
        <v>694</v>
      </c>
    </row>
    <row r="1303" s="2" customFormat="true" ht="22.5" customHeight="true" spans="1:7">
      <c r="A1303" s="6">
        <f>1301</f>
        <v>1301</v>
      </c>
      <c r="B1303" s="6" t="s">
        <v>1325</v>
      </c>
      <c r="C1303" s="6" t="s">
        <v>9</v>
      </c>
      <c r="D1303" s="6" t="s">
        <v>146</v>
      </c>
      <c r="E1303" s="6" t="s">
        <v>17</v>
      </c>
      <c r="F1303" s="6">
        <v>2</v>
      </c>
      <c r="G1303" s="6">
        <v>1025</v>
      </c>
    </row>
    <row r="1304" s="2" customFormat="true" ht="22.5" customHeight="true" spans="1:7">
      <c r="A1304" s="6">
        <f>1302</f>
        <v>1302</v>
      </c>
      <c r="B1304" s="6" t="s">
        <v>1326</v>
      </c>
      <c r="C1304" s="6" t="s">
        <v>15</v>
      </c>
      <c r="D1304" s="6" t="s">
        <v>143</v>
      </c>
      <c r="E1304" s="6" t="s">
        <v>17</v>
      </c>
      <c r="F1304" s="6">
        <v>2</v>
      </c>
      <c r="G1304" s="6">
        <v>1027</v>
      </c>
    </row>
    <row r="1305" s="2" customFormat="true" ht="22.5" customHeight="true" spans="1:7">
      <c r="A1305" s="6">
        <f>1303</f>
        <v>1303</v>
      </c>
      <c r="B1305" s="6" t="s">
        <v>1327</v>
      </c>
      <c r="C1305" s="6" t="s">
        <v>9</v>
      </c>
      <c r="D1305" s="6" t="s">
        <v>122</v>
      </c>
      <c r="E1305" s="6" t="s">
        <v>17</v>
      </c>
      <c r="F1305" s="6">
        <v>1</v>
      </c>
      <c r="G1305" s="6">
        <v>651</v>
      </c>
    </row>
    <row r="1306" s="2" customFormat="true" ht="22.5" customHeight="true" spans="1:7">
      <c r="A1306" s="6">
        <f>1304</f>
        <v>1304</v>
      </c>
      <c r="B1306" s="6" t="s">
        <v>1328</v>
      </c>
      <c r="C1306" s="6" t="s">
        <v>9</v>
      </c>
      <c r="D1306" s="6" t="s">
        <v>143</v>
      </c>
      <c r="E1306" s="6" t="s">
        <v>11</v>
      </c>
      <c r="F1306" s="6">
        <v>2</v>
      </c>
      <c r="G1306" s="6">
        <v>1007</v>
      </c>
    </row>
    <row r="1307" s="2" customFormat="true" ht="22.5" customHeight="true" spans="1:7">
      <c r="A1307" s="6">
        <f>1305</f>
        <v>1305</v>
      </c>
      <c r="B1307" s="6" t="s">
        <v>1329</v>
      </c>
      <c r="C1307" s="6" t="s">
        <v>9</v>
      </c>
      <c r="D1307" s="6" t="s">
        <v>192</v>
      </c>
      <c r="E1307" s="6" t="s">
        <v>17</v>
      </c>
      <c r="F1307" s="6">
        <v>1</v>
      </c>
      <c r="G1307" s="6">
        <v>694</v>
      </c>
    </row>
    <row r="1308" s="2" customFormat="true" ht="22.5" customHeight="true" spans="1:7">
      <c r="A1308" s="6">
        <f>1306</f>
        <v>1306</v>
      </c>
      <c r="B1308" s="6" t="s">
        <v>1330</v>
      </c>
      <c r="C1308" s="6" t="s">
        <v>15</v>
      </c>
      <c r="D1308" s="6" t="s">
        <v>124</v>
      </c>
      <c r="E1308" s="6" t="s">
        <v>17</v>
      </c>
      <c r="F1308" s="6">
        <v>1</v>
      </c>
      <c r="G1308" s="6">
        <v>543</v>
      </c>
    </row>
    <row r="1309" s="2" customFormat="true" ht="22.5" customHeight="true" spans="1:7">
      <c r="A1309" s="6">
        <f>1307</f>
        <v>1307</v>
      </c>
      <c r="B1309" s="6" t="s">
        <v>1331</v>
      </c>
      <c r="C1309" s="6" t="s">
        <v>9</v>
      </c>
      <c r="D1309" s="6" t="s">
        <v>122</v>
      </c>
      <c r="E1309" s="6" t="s">
        <v>17</v>
      </c>
      <c r="F1309" s="6">
        <v>2</v>
      </c>
      <c r="G1309" s="6">
        <v>1025</v>
      </c>
    </row>
    <row r="1310" s="2" customFormat="true" ht="22.5" customHeight="true" spans="1:7">
      <c r="A1310" s="6">
        <f>1308</f>
        <v>1308</v>
      </c>
      <c r="B1310" s="6" t="s">
        <v>1332</v>
      </c>
      <c r="C1310" s="6" t="s">
        <v>9</v>
      </c>
      <c r="D1310" s="6" t="s">
        <v>129</v>
      </c>
      <c r="E1310" s="6" t="s">
        <v>79</v>
      </c>
      <c r="F1310" s="6">
        <v>2</v>
      </c>
      <c r="G1310" s="6">
        <v>942</v>
      </c>
    </row>
    <row r="1311" s="2" customFormat="true" ht="22.5" customHeight="true" spans="1:7">
      <c r="A1311" s="6">
        <f>1309</f>
        <v>1309</v>
      </c>
      <c r="B1311" s="6" t="s">
        <v>1333</v>
      </c>
      <c r="C1311" s="6" t="s">
        <v>15</v>
      </c>
      <c r="D1311" s="6" t="s">
        <v>146</v>
      </c>
      <c r="E1311" s="6" t="s">
        <v>17</v>
      </c>
      <c r="F1311" s="6">
        <v>1</v>
      </c>
      <c r="G1311" s="6">
        <v>641</v>
      </c>
    </row>
    <row r="1312" s="2" customFormat="true" ht="22.5" customHeight="true" spans="1:7">
      <c r="A1312" s="6">
        <f>1310</f>
        <v>1310</v>
      </c>
      <c r="B1312" s="6" t="s">
        <v>1334</v>
      </c>
      <c r="C1312" s="6" t="s">
        <v>9</v>
      </c>
      <c r="D1312" s="6" t="s">
        <v>143</v>
      </c>
      <c r="E1312" s="6" t="s">
        <v>17</v>
      </c>
      <c r="F1312" s="6">
        <v>1</v>
      </c>
      <c r="G1312" s="6">
        <v>744</v>
      </c>
    </row>
    <row r="1313" s="2" customFormat="true" ht="22.5" customHeight="true" spans="1:7">
      <c r="A1313" s="6">
        <f>1311</f>
        <v>1311</v>
      </c>
      <c r="B1313" s="6" t="s">
        <v>1335</v>
      </c>
      <c r="C1313" s="6" t="s">
        <v>9</v>
      </c>
      <c r="D1313" s="6" t="s">
        <v>122</v>
      </c>
      <c r="E1313" s="6" t="s">
        <v>79</v>
      </c>
      <c r="F1313" s="6">
        <v>1</v>
      </c>
      <c r="G1313" s="6">
        <v>491</v>
      </c>
    </row>
    <row r="1314" s="2" customFormat="true" ht="22.5" customHeight="true" spans="1:7">
      <c r="A1314" s="6">
        <f>1312</f>
        <v>1312</v>
      </c>
      <c r="B1314" s="6" t="s">
        <v>1336</v>
      </c>
      <c r="C1314" s="6" t="s">
        <v>9</v>
      </c>
      <c r="D1314" s="6" t="s">
        <v>131</v>
      </c>
      <c r="E1314" s="6" t="s">
        <v>79</v>
      </c>
      <c r="F1314" s="6">
        <v>2</v>
      </c>
      <c r="G1314" s="6">
        <v>1137</v>
      </c>
    </row>
    <row r="1315" s="2" customFormat="true" ht="22.5" customHeight="true" spans="1:7">
      <c r="A1315" s="6">
        <f>1313</f>
        <v>1313</v>
      </c>
      <c r="B1315" s="6" t="s">
        <v>1337</v>
      </c>
      <c r="C1315" s="6" t="s">
        <v>9</v>
      </c>
      <c r="D1315" s="6" t="s">
        <v>129</v>
      </c>
      <c r="E1315" s="6" t="s">
        <v>79</v>
      </c>
      <c r="F1315" s="6">
        <v>2</v>
      </c>
      <c r="G1315" s="6">
        <v>942</v>
      </c>
    </row>
    <row r="1316" s="2" customFormat="true" ht="22.5" customHeight="true" spans="1:7">
      <c r="A1316" s="6">
        <f>1314</f>
        <v>1314</v>
      </c>
      <c r="B1316" s="6" t="s">
        <v>1338</v>
      </c>
      <c r="C1316" s="6" t="s">
        <v>15</v>
      </c>
      <c r="D1316" s="6" t="s">
        <v>143</v>
      </c>
      <c r="E1316" s="6" t="s">
        <v>17</v>
      </c>
      <c r="F1316" s="6">
        <v>2</v>
      </c>
      <c r="G1316" s="6">
        <v>1045</v>
      </c>
    </row>
    <row r="1317" s="2" customFormat="true" ht="22.5" customHeight="true" spans="1:7">
      <c r="A1317" s="6">
        <f>1315</f>
        <v>1315</v>
      </c>
      <c r="B1317" s="6" t="s">
        <v>1339</v>
      </c>
      <c r="C1317" s="6" t="s">
        <v>9</v>
      </c>
      <c r="D1317" s="6" t="s">
        <v>164</v>
      </c>
      <c r="E1317" s="6" t="s">
        <v>17</v>
      </c>
      <c r="F1317" s="6">
        <v>3</v>
      </c>
      <c r="G1317" s="6">
        <v>1653</v>
      </c>
    </row>
    <row r="1318" s="2" customFormat="true" ht="22.5" customHeight="true" spans="1:7">
      <c r="A1318" s="6">
        <f>1316</f>
        <v>1316</v>
      </c>
      <c r="B1318" s="6" t="s">
        <v>820</v>
      </c>
      <c r="C1318" s="6" t="s">
        <v>15</v>
      </c>
      <c r="D1318" s="6" t="s">
        <v>167</v>
      </c>
      <c r="E1318" s="6" t="s">
        <v>17</v>
      </c>
      <c r="F1318" s="6">
        <v>1</v>
      </c>
      <c r="G1318" s="6">
        <v>649</v>
      </c>
    </row>
    <row r="1319" s="2" customFormat="true" ht="22.5" customHeight="true" spans="1:7">
      <c r="A1319" s="6">
        <f>1317</f>
        <v>1317</v>
      </c>
      <c r="B1319" s="6" t="s">
        <v>1340</v>
      </c>
      <c r="C1319" s="6" t="s">
        <v>9</v>
      </c>
      <c r="D1319" s="6" t="s">
        <v>149</v>
      </c>
      <c r="E1319" s="6" t="s">
        <v>17</v>
      </c>
      <c r="F1319" s="6">
        <v>1</v>
      </c>
      <c r="G1319" s="6">
        <v>649</v>
      </c>
    </row>
    <row r="1320" s="2" customFormat="true" ht="22.5" customHeight="true" spans="1:7">
      <c r="A1320" s="6">
        <f>1318</f>
        <v>1318</v>
      </c>
      <c r="B1320" s="6" t="s">
        <v>1341</v>
      </c>
      <c r="C1320" s="6" t="s">
        <v>9</v>
      </c>
      <c r="D1320" s="6" t="s">
        <v>270</v>
      </c>
      <c r="E1320" s="6" t="s">
        <v>11</v>
      </c>
      <c r="F1320" s="6">
        <v>4</v>
      </c>
      <c r="G1320" s="6">
        <v>2694</v>
      </c>
    </row>
    <row r="1321" s="2" customFormat="true" ht="22.5" customHeight="true" spans="1:7">
      <c r="A1321" s="6">
        <f>1319</f>
        <v>1319</v>
      </c>
      <c r="B1321" s="6" t="s">
        <v>1342</v>
      </c>
      <c r="C1321" s="6" t="s">
        <v>9</v>
      </c>
      <c r="D1321" s="6" t="s">
        <v>185</v>
      </c>
      <c r="E1321" s="6" t="s">
        <v>11</v>
      </c>
      <c r="F1321" s="6">
        <v>2</v>
      </c>
      <c r="G1321" s="6">
        <v>1052</v>
      </c>
    </row>
    <row r="1322" s="2" customFormat="true" ht="22.5" customHeight="true" spans="1:7">
      <c r="A1322" s="6">
        <f>1320</f>
        <v>1320</v>
      </c>
      <c r="B1322" s="6" t="s">
        <v>1343</v>
      </c>
      <c r="C1322" s="6" t="s">
        <v>9</v>
      </c>
      <c r="D1322" s="6" t="s">
        <v>222</v>
      </c>
      <c r="E1322" s="6" t="s">
        <v>17</v>
      </c>
      <c r="F1322" s="6">
        <v>2</v>
      </c>
      <c r="G1322" s="6">
        <v>1327</v>
      </c>
    </row>
    <row r="1323" s="2" customFormat="true" ht="22.5" customHeight="true" spans="1:7">
      <c r="A1323" s="6">
        <f>1321</f>
        <v>1321</v>
      </c>
      <c r="B1323" s="6" t="s">
        <v>1344</v>
      </c>
      <c r="C1323" s="6" t="s">
        <v>15</v>
      </c>
      <c r="D1323" s="6" t="s">
        <v>167</v>
      </c>
      <c r="E1323" s="6" t="s">
        <v>17</v>
      </c>
      <c r="F1323" s="6">
        <v>2</v>
      </c>
      <c r="G1323" s="6">
        <v>1127</v>
      </c>
    </row>
    <row r="1324" s="2" customFormat="true" ht="22.5" customHeight="true" spans="1:7">
      <c r="A1324" s="6">
        <f>1322</f>
        <v>1322</v>
      </c>
      <c r="B1324" s="6" t="s">
        <v>1345</v>
      </c>
      <c r="C1324" s="6" t="s">
        <v>9</v>
      </c>
      <c r="D1324" s="6" t="s">
        <v>164</v>
      </c>
      <c r="E1324" s="6" t="s">
        <v>79</v>
      </c>
      <c r="F1324" s="6">
        <v>2</v>
      </c>
      <c r="G1324" s="6">
        <v>902</v>
      </c>
    </row>
    <row r="1325" s="2" customFormat="true" ht="22.5" customHeight="true" spans="1:7">
      <c r="A1325" s="6">
        <f>1323</f>
        <v>1323</v>
      </c>
      <c r="B1325" s="6" t="s">
        <v>1346</v>
      </c>
      <c r="C1325" s="6" t="s">
        <v>9</v>
      </c>
      <c r="D1325" s="6" t="s">
        <v>161</v>
      </c>
      <c r="E1325" s="6" t="s">
        <v>17</v>
      </c>
      <c r="F1325" s="6">
        <v>1</v>
      </c>
      <c r="G1325" s="6">
        <v>624</v>
      </c>
    </row>
    <row r="1326" s="2" customFormat="true" ht="22.5" customHeight="true" spans="1:7">
      <c r="A1326" s="6">
        <f>1324</f>
        <v>1324</v>
      </c>
      <c r="B1326" s="6" t="s">
        <v>1347</v>
      </c>
      <c r="C1326" s="6" t="s">
        <v>9</v>
      </c>
      <c r="D1326" s="6" t="s">
        <v>143</v>
      </c>
      <c r="E1326" s="6" t="s">
        <v>17</v>
      </c>
      <c r="F1326" s="6">
        <v>2</v>
      </c>
      <c r="G1326" s="6">
        <v>1087</v>
      </c>
    </row>
    <row r="1327" s="2" customFormat="true" ht="22.5" customHeight="true" spans="1:7">
      <c r="A1327" s="6">
        <f>1325</f>
        <v>1325</v>
      </c>
      <c r="B1327" s="6" t="s">
        <v>1348</v>
      </c>
      <c r="C1327" s="6" t="s">
        <v>9</v>
      </c>
      <c r="D1327" s="6" t="s">
        <v>129</v>
      </c>
      <c r="E1327" s="6" t="s">
        <v>17</v>
      </c>
      <c r="F1327" s="6">
        <v>2</v>
      </c>
      <c r="G1327" s="6">
        <v>1145</v>
      </c>
    </row>
    <row r="1328" s="2" customFormat="true" ht="22.5" customHeight="true" spans="1:7">
      <c r="A1328" s="6">
        <f>1326</f>
        <v>1326</v>
      </c>
      <c r="B1328" s="6" t="s">
        <v>1349</v>
      </c>
      <c r="C1328" s="6" t="s">
        <v>9</v>
      </c>
      <c r="D1328" s="6" t="s">
        <v>129</v>
      </c>
      <c r="E1328" s="6" t="s">
        <v>79</v>
      </c>
      <c r="F1328" s="6">
        <v>2</v>
      </c>
      <c r="G1328" s="6">
        <v>942</v>
      </c>
    </row>
    <row r="1329" s="2" customFormat="true" ht="22.5" customHeight="true" spans="1:7">
      <c r="A1329" s="6">
        <f>1327</f>
        <v>1327</v>
      </c>
      <c r="B1329" s="6" t="s">
        <v>1350</v>
      </c>
      <c r="C1329" s="6" t="s">
        <v>9</v>
      </c>
      <c r="D1329" s="6" t="s">
        <v>129</v>
      </c>
      <c r="E1329" s="6" t="s">
        <v>79</v>
      </c>
      <c r="F1329" s="6">
        <v>1</v>
      </c>
      <c r="G1329" s="6">
        <v>741</v>
      </c>
    </row>
    <row r="1330" s="2" customFormat="true" ht="22.5" customHeight="true" spans="1:7">
      <c r="A1330" s="6">
        <f>1328</f>
        <v>1328</v>
      </c>
      <c r="B1330" s="6" t="s">
        <v>1351</v>
      </c>
      <c r="C1330" s="6" t="s">
        <v>9</v>
      </c>
      <c r="D1330" s="6" t="s">
        <v>270</v>
      </c>
      <c r="E1330" s="6" t="s">
        <v>17</v>
      </c>
      <c r="F1330" s="6">
        <v>3</v>
      </c>
      <c r="G1330" s="6">
        <v>1710</v>
      </c>
    </row>
    <row r="1331" s="2" customFormat="true" ht="22.5" customHeight="true" spans="1:7">
      <c r="A1331" s="6">
        <f>1329</f>
        <v>1329</v>
      </c>
      <c r="B1331" s="6" t="s">
        <v>1352</v>
      </c>
      <c r="C1331" s="6" t="s">
        <v>9</v>
      </c>
      <c r="D1331" s="6" t="s">
        <v>159</v>
      </c>
      <c r="E1331" s="6" t="s">
        <v>17</v>
      </c>
      <c r="F1331" s="6">
        <v>2</v>
      </c>
      <c r="G1331" s="6">
        <v>1339</v>
      </c>
    </row>
    <row r="1332" s="2" customFormat="true" ht="22.5" customHeight="true" spans="1:7">
      <c r="A1332" s="6">
        <f>1330</f>
        <v>1330</v>
      </c>
      <c r="B1332" s="6" t="s">
        <v>1353</v>
      </c>
      <c r="C1332" s="6" t="s">
        <v>9</v>
      </c>
      <c r="D1332" s="6" t="s">
        <v>131</v>
      </c>
      <c r="E1332" s="6" t="s">
        <v>17</v>
      </c>
      <c r="F1332" s="6">
        <v>3</v>
      </c>
      <c r="G1332" s="6">
        <v>1932</v>
      </c>
    </row>
    <row r="1333" s="2" customFormat="true" ht="22.5" customHeight="true" spans="1:7">
      <c r="A1333" s="6">
        <f>1331</f>
        <v>1331</v>
      </c>
      <c r="B1333" s="6" t="s">
        <v>1354</v>
      </c>
      <c r="C1333" s="6" t="s">
        <v>9</v>
      </c>
      <c r="D1333" s="6" t="s">
        <v>159</v>
      </c>
      <c r="E1333" s="6" t="s">
        <v>17</v>
      </c>
      <c r="F1333" s="6">
        <v>3</v>
      </c>
      <c r="G1333" s="6">
        <v>1912</v>
      </c>
    </row>
    <row r="1334" s="2" customFormat="true" ht="22.5" customHeight="true" spans="1:7">
      <c r="A1334" s="6">
        <f>1332</f>
        <v>1332</v>
      </c>
      <c r="B1334" s="6" t="s">
        <v>1355</v>
      </c>
      <c r="C1334" s="6" t="s">
        <v>9</v>
      </c>
      <c r="D1334" s="6" t="s">
        <v>143</v>
      </c>
      <c r="E1334" s="6" t="s">
        <v>17</v>
      </c>
      <c r="F1334" s="6">
        <v>1</v>
      </c>
      <c r="G1334" s="6">
        <v>694</v>
      </c>
    </row>
    <row r="1335" s="2" customFormat="true" ht="22.5" customHeight="true" spans="1:7">
      <c r="A1335" s="6">
        <f>1333</f>
        <v>1333</v>
      </c>
      <c r="B1335" s="6" t="s">
        <v>1356</v>
      </c>
      <c r="C1335" s="6" t="s">
        <v>9</v>
      </c>
      <c r="D1335" s="6" t="s">
        <v>169</v>
      </c>
      <c r="E1335" s="6" t="s">
        <v>11</v>
      </c>
      <c r="F1335" s="6">
        <v>2</v>
      </c>
      <c r="G1335" s="6">
        <v>987</v>
      </c>
    </row>
    <row r="1336" s="2" customFormat="true" ht="22.5" customHeight="true" spans="1:7">
      <c r="A1336" s="6">
        <f>1334</f>
        <v>1334</v>
      </c>
      <c r="B1336" s="6" t="s">
        <v>1357</v>
      </c>
      <c r="C1336" s="6" t="s">
        <v>9</v>
      </c>
      <c r="D1336" s="6" t="s">
        <v>185</v>
      </c>
      <c r="E1336" s="6" t="s">
        <v>11</v>
      </c>
      <c r="F1336" s="6">
        <v>1</v>
      </c>
      <c r="G1336" s="6">
        <v>599</v>
      </c>
    </row>
    <row r="1337" s="2" customFormat="true" ht="22.5" customHeight="true" spans="1:7">
      <c r="A1337" s="6">
        <f>1335</f>
        <v>1335</v>
      </c>
      <c r="B1337" s="6" t="s">
        <v>1358</v>
      </c>
      <c r="C1337" s="6" t="s">
        <v>9</v>
      </c>
      <c r="D1337" s="6" t="s">
        <v>164</v>
      </c>
      <c r="E1337" s="6" t="s">
        <v>17</v>
      </c>
      <c r="F1337" s="6">
        <v>1</v>
      </c>
      <c r="G1337" s="6">
        <v>619</v>
      </c>
    </row>
    <row r="1338" s="2" customFormat="true" ht="22.5" customHeight="true" spans="1:7">
      <c r="A1338" s="6">
        <f>1336</f>
        <v>1336</v>
      </c>
      <c r="B1338" s="6" t="s">
        <v>1359</v>
      </c>
      <c r="C1338" s="6" t="s">
        <v>9</v>
      </c>
      <c r="D1338" s="6" t="s">
        <v>131</v>
      </c>
      <c r="E1338" s="6" t="s">
        <v>11</v>
      </c>
      <c r="F1338" s="6">
        <v>3</v>
      </c>
      <c r="G1338" s="6">
        <v>1483</v>
      </c>
    </row>
    <row r="1339" s="2" customFormat="true" ht="22.5" customHeight="true" spans="1:7">
      <c r="A1339" s="6">
        <f>1337</f>
        <v>1337</v>
      </c>
      <c r="B1339" s="6" t="s">
        <v>1360</v>
      </c>
      <c r="C1339" s="6" t="s">
        <v>9</v>
      </c>
      <c r="D1339" s="6" t="s">
        <v>161</v>
      </c>
      <c r="E1339" s="6" t="s">
        <v>17</v>
      </c>
      <c r="F1339" s="6">
        <v>1</v>
      </c>
      <c r="G1339" s="6">
        <v>694</v>
      </c>
    </row>
    <row r="1340" s="2" customFormat="true" ht="22.5" customHeight="true" spans="1:7">
      <c r="A1340" s="6">
        <f>1338</f>
        <v>1338</v>
      </c>
      <c r="B1340" s="6" t="s">
        <v>1361</v>
      </c>
      <c r="C1340" s="6" t="s">
        <v>9</v>
      </c>
      <c r="D1340" s="6" t="s">
        <v>146</v>
      </c>
      <c r="E1340" s="6" t="s">
        <v>11</v>
      </c>
      <c r="F1340" s="6">
        <v>2</v>
      </c>
      <c r="G1340" s="6">
        <v>838</v>
      </c>
    </row>
    <row r="1341" s="2" customFormat="true" ht="22.5" customHeight="true" spans="1:7">
      <c r="A1341" s="6">
        <f>1339</f>
        <v>1339</v>
      </c>
      <c r="B1341" s="6" t="s">
        <v>1362</v>
      </c>
      <c r="C1341" s="6" t="s">
        <v>15</v>
      </c>
      <c r="D1341" s="6" t="s">
        <v>143</v>
      </c>
      <c r="E1341" s="6" t="s">
        <v>17</v>
      </c>
      <c r="F1341" s="6">
        <v>1</v>
      </c>
      <c r="G1341" s="6">
        <v>636</v>
      </c>
    </row>
    <row r="1342" s="2" customFormat="true" ht="22.5" customHeight="true" spans="1:7">
      <c r="A1342" s="6">
        <f>1340</f>
        <v>1340</v>
      </c>
      <c r="B1342" s="6" t="s">
        <v>1363</v>
      </c>
      <c r="C1342" s="6" t="s">
        <v>9</v>
      </c>
      <c r="D1342" s="6" t="s">
        <v>122</v>
      </c>
      <c r="E1342" s="6" t="s">
        <v>79</v>
      </c>
      <c r="F1342" s="6">
        <v>2</v>
      </c>
      <c r="G1342" s="6">
        <v>852</v>
      </c>
    </row>
    <row r="1343" s="2" customFormat="true" ht="22.5" customHeight="true" spans="1:7">
      <c r="A1343" s="6">
        <f>1341</f>
        <v>1341</v>
      </c>
      <c r="B1343" s="6" t="s">
        <v>1364</v>
      </c>
      <c r="C1343" s="6" t="s">
        <v>9</v>
      </c>
      <c r="D1343" s="6" t="s">
        <v>270</v>
      </c>
      <c r="E1343" s="6" t="s">
        <v>11</v>
      </c>
      <c r="F1343" s="6">
        <v>1</v>
      </c>
      <c r="G1343" s="6">
        <v>621</v>
      </c>
    </row>
    <row r="1344" s="2" customFormat="true" ht="22.5" customHeight="true" spans="1:7">
      <c r="A1344" s="6">
        <f>1342</f>
        <v>1342</v>
      </c>
      <c r="B1344" s="6" t="s">
        <v>1365</v>
      </c>
      <c r="C1344" s="6" t="s">
        <v>9</v>
      </c>
      <c r="D1344" s="6" t="s">
        <v>169</v>
      </c>
      <c r="E1344" s="6" t="s">
        <v>11</v>
      </c>
      <c r="F1344" s="6">
        <v>2</v>
      </c>
      <c r="G1344" s="6">
        <v>1205</v>
      </c>
    </row>
    <row r="1345" s="2" customFormat="true" ht="22.5" customHeight="true" spans="1:7">
      <c r="A1345" s="6">
        <f>1343</f>
        <v>1343</v>
      </c>
      <c r="B1345" s="6" t="s">
        <v>1366</v>
      </c>
      <c r="C1345" s="6" t="s">
        <v>9</v>
      </c>
      <c r="D1345" s="6" t="s">
        <v>167</v>
      </c>
      <c r="E1345" s="6" t="s">
        <v>17</v>
      </c>
      <c r="F1345" s="6">
        <v>1</v>
      </c>
      <c r="G1345" s="6">
        <v>694</v>
      </c>
    </row>
    <row r="1346" s="2" customFormat="true" ht="22.5" customHeight="true" spans="1:7">
      <c r="A1346" s="6">
        <f>1344</f>
        <v>1344</v>
      </c>
      <c r="B1346" s="6" t="s">
        <v>1367</v>
      </c>
      <c r="C1346" s="6" t="s">
        <v>9</v>
      </c>
      <c r="D1346" s="6" t="s">
        <v>129</v>
      </c>
      <c r="E1346" s="6" t="s">
        <v>11</v>
      </c>
      <c r="F1346" s="6">
        <v>1</v>
      </c>
      <c r="G1346" s="6">
        <v>748</v>
      </c>
    </row>
    <row r="1347" s="2" customFormat="true" ht="22.5" customHeight="true" spans="1:7">
      <c r="A1347" s="6">
        <f>1345</f>
        <v>1345</v>
      </c>
      <c r="B1347" s="6" t="s">
        <v>1368</v>
      </c>
      <c r="C1347" s="6" t="s">
        <v>9</v>
      </c>
      <c r="D1347" s="6" t="s">
        <v>161</v>
      </c>
      <c r="E1347" s="6" t="s">
        <v>17</v>
      </c>
      <c r="F1347" s="6">
        <v>1</v>
      </c>
      <c r="G1347" s="6">
        <v>794</v>
      </c>
    </row>
    <row r="1348" s="2" customFormat="true" ht="22.5" customHeight="true" spans="1:7">
      <c r="A1348" s="6">
        <f>1346</f>
        <v>1346</v>
      </c>
      <c r="B1348" s="6" t="s">
        <v>1369</v>
      </c>
      <c r="C1348" s="6" t="s">
        <v>9</v>
      </c>
      <c r="D1348" s="6" t="s">
        <v>180</v>
      </c>
      <c r="E1348" s="6" t="s">
        <v>79</v>
      </c>
      <c r="F1348" s="6">
        <v>2</v>
      </c>
      <c r="G1348" s="6">
        <v>936</v>
      </c>
    </row>
    <row r="1349" s="2" customFormat="true" ht="22.5" customHeight="true" spans="1:7">
      <c r="A1349" s="6">
        <f>1347</f>
        <v>1347</v>
      </c>
      <c r="B1349" s="6" t="s">
        <v>1370</v>
      </c>
      <c r="C1349" s="6" t="s">
        <v>9</v>
      </c>
      <c r="D1349" s="6" t="s">
        <v>131</v>
      </c>
      <c r="E1349" s="6" t="s">
        <v>79</v>
      </c>
      <c r="F1349" s="6">
        <v>1</v>
      </c>
      <c r="G1349" s="6">
        <v>471</v>
      </c>
    </row>
    <row r="1350" s="2" customFormat="true" ht="22.5" customHeight="true" spans="1:7">
      <c r="A1350" s="6">
        <f>1348</f>
        <v>1348</v>
      </c>
      <c r="B1350" s="6" t="s">
        <v>1371</v>
      </c>
      <c r="C1350" s="6" t="s">
        <v>9</v>
      </c>
      <c r="D1350" s="6" t="s">
        <v>180</v>
      </c>
      <c r="E1350" s="6" t="s">
        <v>17</v>
      </c>
      <c r="F1350" s="6">
        <v>2</v>
      </c>
      <c r="G1350" s="6">
        <v>1083</v>
      </c>
    </row>
    <row r="1351" s="2" customFormat="true" ht="22.5" customHeight="true" spans="1:7">
      <c r="A1351" s="6">
        <f>1349</f>
        <v>1349</v>
      </c>
      <c r="B1351" s="6" t="s">
        <v>1372</v>
      </c>
      <c r="C1351" s="6" t="s">
        <v>9</v>
      </c>
      <c r="D1351" s="6" t="s">
        <v>167</v>
      </c>
      <c r="E1351" s="6" t="s">
        <v>11</v>
      </c>
      <c r="F1351" s="6">
        <v>1</v>
      </c>
      <c r="G1351" s="6">
        <v>574</v>
      </c>
    </row>
    <row r="1352" s="2" customFormat="true" ht="22.5" customHeight="true" spans="1:7">
      <c r="A1352" s="6">
        <f>1350</f>
        <v>1350</v>
      </c>
      <c r="B1352" s="6" t="s">
        <v>1373</v>
      </c>
      <c r="C1352" s="6" t="s">
        <v>9</v>
      </c>
      <c r="D1352" s="6" t="s">
        <v>222</v>
      </c>
      <c r="E1352" s="6" t="s">
        <v>11</v>
      </c>
      <c r="F1352" s="6">
        <v>2</v>
      </c>
      <c r="G1352" s="6">
        <v>1177</v>
      </c>
    </row>
    <row r="1353" s="2" customFormat="true" ht="22.5" customHeight="true" spans="1:7">
      <c r="A1353" s="6">
        <f>1351</f>
        <v>1351</v>
      </c>
      <c r="B1353" s="6" t="s">
        <v>569</v>
      </c>
      <c r="C1353" s="6" t="s">
        <v>9</v>
      </c>
      <c r="D1353" s="6" t="s">
        <v>129</v>
      </c>
      <c r="E1353" s="6" t="s">
        <v>17</v>
      </c>
      <c r="F1353" s="6">
        <v>1</v>
      </c>
      <c r="G1353" s="6">
        <v>619</v>
      </c>
    </row>
    <row r="1354" s="2" customFormat="true" ht="22.5" customHeight="true" spans="1:7">
      <c r="A1354" s="6">
        <f>1352</f>
        <v>1352</v>
      </c>
      <c r="B1354" s="6" t="s">
        <v>1374</v>
      </c>
      <c r="C1354" s="6" t="s">
        <v>9</v>
      </c>
      <c r="D1354" s="6" t="s">
        <v>260</v>
      </c>
      <c r="E1354" s="6" t="s">
        <v>17</v>
      </c>
      <c r="F1354" s="6">
        <v>1</v>
      </c>
      <c r="G1354" s="6">
        <v>649</v>
      </c>
    </row>
    <row r="1355" s="2" customFormat="true" ht="22.5" customHeight="true" spans="1:7">
      <c r="A1355" s="6">
        <f>1353</f>
        <v>1353</v>
      </c>
      <c r="B1355" s="6" t="s">
        <v>1375</v>
      </c>
      <c r="C1355" s="6" t="s">
        <v>9</v>
      </c>
      <c r="D1355" s="6" t="s">
        <v>129</v>
      </c>
      <c r="E1355" s="6" t="s">
        <v>79</v>
      </c>
      <c r="F1355" s="6">
        <v>1</v>
      </c>
      <c r="G1355" s="6">
        <v>571</v>
      </c>
    </row>
    <row r="1356" s="2" customFormat="true" ht="22.5" customHeight="true" spans="1:7">
      <c r="A1356" s="6">
        <f>1354</f>
        <v>1354</v>
      </c>
      <c r="B1356" s="6" t="s">
        <v>1376</v>
      </c>
      <c r="C1356" s="6" t="s">
        <v>9</v>
      </c>
      <c r="D1356" s="6" t="s">
        <v>169</v>
      </c>
      <c r="E1356" s="6" t="s">
        <v>17</v>
      </c>
      <c r="F1356" s="6">
        <v>3</v>
      </c>
      <c r="G1356" s="6">
        <v>1707</v>
      </c>
    </row>
    <row r="1357" s="2" customFormat="true" ht="22.5" customHeight="true" spans="1:7">
      <c r="A1357" s="6">
        <f>1355</f>
        <v>1355</v>
      </c>
      <c r="B1357" s="6" t="s">
        <v>1377</v>
      </c>
      <c r="C1357" s="6" t="s">
        <v>9</v>
      </c>
      <c r="D1357" s="6" t="s">
        <v>129</v>
      </c>
      <c r="E1357" s="6" t="s">
        <v>17</v>
      </c>
      <c r="F1357" s="6">
        <v>3</v>
      </c>
      <c r="G1357" s="6">
        <v>1762</v>
      </c>
    </row>
    <row r="1358" s="2" customFormat="true" ht="22.5" customHeight="true" spans="1:7">
      <c r="A1358" s="6">
        <f>1356</f>
        <v>1356</v>
      </c>
      <c r="B1358" s="6" t="s">
        <v>1237</v>
      </c>
      <c r="C1358" s="6" t="s">
        <v>9</v>
      </c>
      <c r="D1358" s="6" t="s">
        <v>129</v>
      </c>
      <c r="E1358" s="6" t="s">
        <v>17</v>
      </c>
      <c r="F1358" s="6">
        <v>4</v>
      </c>
      <c r="G1358" s="6">
        <v>2517</v>
      </c>
    </row>
    <row r="1359" s="2" customFormat="true" ht="22.5" customHeight="true" spans="1:7">
      <c r="A1359" s="6">
        <f>1357</f>
        <v>1357</v>
      </c>
      <c r="B1359" s="6" t="s">
        <v>1378</v>
      </c>
      <c r="C1359" s="6" t="s">
        <v>9</v>
      </c>
      <c r="D1359" s="6" t="s">
        <v>164</v>
      </c>
      <c r="E1359" s="6" t="s">
        <v>17</v>
      </c>
      <c r="F1359" s="6">
        <v>1</v>
      </c>
      <c r="G1359" s="6">
        <v>794</v>
      </c>
    </row>
    <row r="1360" s="2" customFormat="true" ht="22.5" customHeight="true" spans="1:7">
      <c r="A1360" s="6">
        <f>1358</f>
        <v>1358</v>
      </c>
      <c r="B1360" s="6" t="s">
        <v>1379</v>
      </c>
      <c r="C1360" s="6" t="s">
        <v>9</v>
      </c>
      <c r="D1360" s="6" t="s">
        <v>192</v>
      </c>
      <c r="E1360" s="6" t="s">
        <v>11</v>
      </c>
      <c r="F1360" s="6">
        <v>3</v>
      </c>
      <c r="G1360" s="6">
        <v>1649</v>
      </c>
    </row>
    <row r="1361" s="2" customFormat="true" ht="22.5" customHeight="true" spans="1:7">
      <c r="A1361" s="6">
        <f>1359</f>
        <v>1359</v>
      </c>
      <c r="B1361" s="6" t="s">
        <v>1380</v>
      </c>
      <c r="C1361" s="6" t="s">
        <v>15</v>
      </c>
      <c r="D1361" s="6" t="s">
        <v>129</v>
      </c>
      <c r="E1361" s="6" t="s">
        <v>17</v>
      </c>
      <c r="F1361" s="6">
        <v>2</v>
      </c>
      <c r="G1361" s="6">
        <v>1570</v>
      </c>
    </row>
    <row r="1362" s="2" customFormat="true" ht="22.5" customHeight="true" spans="1:7">
      <c r="A1362" s="6">
        <f>1360</f>
        <v>1360</v>
      </c>
      <c r="B1362" s="6" t="s">
        <v>1381</v>
      </c>
      <c r="C1362" s="6" t="s">
        <v>9</v>
      </c>
      <c r="D1362" s="6" t="s">
        <v>149</v>
      </c>
      <c r="E1362" s="6" t="s">
        <v>11</v>
      </c>
      <c r="F1362" s="6">
        <v>3</v>
      </c>
      <c r="G1362" s="6">
        <v>1703</v>
      </c>
    </row>
    <row r="1363" s="2" customFormat="true" ht="22.5" customHeight="true" spans="1:7">
      <c r="A1363" s="6">
        <f>1361</f>
        <v>1361</v>
      </c>
      <c r="B1363" s="6" t="s">
        <v>1382</v>
      </c>
      <c r="C1363" s="6" t="s">
        <v>9</v>
      </c>
      <c r="D1363" s="6" t="s">
        <v>239</v>
      </c>
      <c r="E1363" s="6" t="s">
        <v>17</v>
      </c>
      <c r="F1363" s="6">
        <v>2</v>
      </c>
      <c r="G1363" s="6">
        <v>1388</v>
      </c>
    </row>
    <row r="1364" s="2" customFormat="true" ht="22.5" customHeight="true" spans="1:7">
      <c r="A1364" s="6">
        <f>1362</f>
        <v>1362</v>
      </c>
      <c r="B1364" s="6" t="s">
        <v>1383</v>
      </c>
      <c r="C1364" s="6" t="s">
        <v>15</v>
      </c>
      <c r="D1364" s="6" t="s">
        <v>169</v>
      </c>
      <c r="E1364" s="6" t="s">
        <v>17</v>
      </c>
      <c r="F1364" s="6">
        <v>1</v>
      </c>
      <c r="G1364" s="6">
        <v>694</v>
      </c>
    </row>
    <row r="1365" s="2" customFormat="true" ht="22.5" customHeight="true" spans="1:7">
      <c r="A1365" s="6">
        <f>1363</f>
        <v>1363</v>
      </c>
      <c r="B1365" s="6" t="s">
        <v>1384</v>
      </c>
      <c r="C1365" s="6" t="s">
        <v>9</v>
      </c>
      <c r="D1365" s="6" t="s">
        <v>143</v>
      </c>
      <c r="E1365" s="6" t="s">
        <v>17</v>
      </c>
      <c r="F1365" s="6">
        <v>2</v>
      </c>
      <c r="G1365" s="6">
        <v>1113</v>
      </c>
    </row>
    <row r="1366" s="2" customFormat="true" ht="22.5" customHeight="true" spans="1:7">
      <c r="A1366" s="6">
        <f>1364</f>
        <v>1364</v>
      </c>
      <c r="B1366" s="6" t="s">
        <v>1385</v>
      </c>
      <c r="C1366" s="6" t="s">
        <v>15</v>
      </c>
      <c r="D1366" s="6" t="s">
        <v>239</v>
      </c>
      <c r="E1366" s="6" t="s">
        <v>17</v>
      </c>
      <c r="F1366" s="6">
        <v>2</v>
      </c>
      <c r="G1366" s="6">
        <v>1057</v>
      </c>
    </row>
    <row r="1367" s="2" customFormat="true" ht="22.5" customHeight="true" spans="1:7">
      <c r="A1367" s="6">
        <f>1365</f>
        <v>1365</v>
      </c>
      <c r="B1367" s="6" t="s">
        <v>1386</v>
      </c>
      <c r="C1367" s="6" t="s">
        <v>9</v>
      </c>
      <c r="D1367" s="6" t="s">
        <v>159</v>
      </c>
      <c r="E1367" s="6" t="s">
        <v>79</v>
      </c>
      <c r="F1367" s="6">
        <v>2</v>
      </c>
      <c r="G1367" s="6">
        <v>850</v>
      </c>
    </row>
    <row r="1368" s="2" customFormat="true" ht="22.5" customHeight="true" spans="1:7">
      <c r="A1368" s="6">
        <f>1366</f>
        <v>1366</v>
      </c>
      <c r="B1368" s="6" t="s">
        <v>1387</v>
      </c>
      <c r="C1368" s="6" t="s">
        <v>9</v>
      </c>
      <c r="D1368" s="6" t="s">
        <v>188</v>
      </c>
      <c r="E1368" s="6" t="s">
        <v>17</v>
      </c>
      <c r="F1368" s="6">
        <v>2</v>
      </c>
      <c r="G1368" s="6">
        <v>1075</v>
      </c>
    </row>
    <row r="1369" s="2" customFormat="true" ht="22.5" customHeight="true" spans="1:7">
      <c r="A1369" s="6">
        <f>1367</f>
        <v>1367</v>
      </c>
      <c r="B1369" s="6" t="s">
        <v>1388</v>
      </c>
      <c r="C1369" s="6" t="s">
        <v>15</v>
      </c>
      <c r="D1369" s="6" t="s">
        <v>131</v>
      </c>
      <c r="E1369" s="6" t="s">
        <v>17</v>
      </c>
      <c r="F1369" s="6">
        <v>1</v>
      </c>
      <c r="G1369" s="6">
        <v>694</v>
      </c>
    </row>
    <row r="1370" s="2" customFormat="true" ht="22.5" customHeight="true" spans="1:7">
      <c r="A1370" s="6">
        <f>1368</f>
        <v>1368</v>
      </c>
      <c r="B1370" s="6" t="s">
        <v>1389</v>
      </c>
      <c r="C1370" s="6" t="s">
        <v>9</v>
      </c>
      <c r="D1370" s="6" t="s">
        <v>143</v>
      </c>
      <c r="E1370" s="6" t="s">
        <v>17</v>
      </c>
      <c r="F1370" s="6">
        <v>1</v>
      </c>
      <c r="G1370" s="6">
        <v>654</v>
      </c>
    </row>
    <row r="1371" s="2" customFormat="true" ht="22.5" customHeight="true" spans="1:7">
      <c r="A1371" s="6">
        <f>1369</f>
        <v>1369</v>
      </c>
      <c r="B1371" s="6" t="s">
        <v>1390</v>
      </c>
      <c r="C1371" s="6" t="s">
        <v>15</v>
      </c>
      <c r="D1371" s="6" t="s">
        <v>167</v>
      </c>
      <c r="E1371" s="6" t="s">
        <v>17</v>
      </c>
      <c r="F1371" s="6">
        <v>1</v>
      </c>
      <c r="G1371" s="6">
        <v>694</v>
      </c>
    </row>
    <row r="1372" s="2" customFormat="true" ht="22.5" customHeight="true" spans="1:7">
      <c r="A1372" s="6">
        <f>1370</f>
        <v>1370</v>
      </c>
      <c r="B1372" s="6" t="s">
        <v>1391</v>
      </c>
      <c r="C1372" s="6" t="s">
        <v>9</v>
      </c>
      <c r="D1372" s="6" t="s">
        <v>169</v>
      </c>
      <c r="E1372" s="6" t="s">
        <v>11</v>
      </c>
      <c r="F1372" s="6">
        <v>1</v>
      </c>
      <c r="G1372" s="6">
        <v>597</v>
      </c>
    </row>
    <row r="1373" s="2" customFormat="true" ht="22.5" customHeight="true" spans="1:7">
      <c r="A1373" s="6">
        <f>1371</f>
        <v>1371</v>
      </c>
      <c r="B1373" s="6" t="s">
        <v>1392</v>
      </c>
      <c r="C1373" s="6" t="s">
        <v>15</v>
      </c>
      <c r="D1373" s="6" t="s">
        <v>180</v>
      </c>
      <c r="E1373" s="6" t="s">
        <v>17</v>
      </c>
      <c r="F1373" s="6">
        <v>2</v>
      </c>
      <c r="G1373" s="6">
        <v>1290</v>
      </c>
    </row>
    <row r="1374" s="2" customFormat="true" ht="22.5" customHeight="true" spans="1:7">
      <c r="A1374" s="6">
        <f>1372</f>
        <v>1372</v>
      </c>
      <c r="B1374" s="6" t="s">
        <v>1393</v>
      </c>
      <c r="C1374" s="6" t="s">
        <v>9</v>
      </c>
      <c r="D1374" s="6" t="s">
        <v>161</v>
      </c>
      <c r="E1374" s="6" t="s">
        <v>11</v>
      </c>
      <c r="F1374" s="6">
        <v>3</v>
      </c>
      <c r="G1374" s="6">
        <v>1851</v>
      </c>
    </row>
    <row r="1375" s="2" customFormat="true" ht="22.5" customHeight="true" spans="1:7">
      <c r="A1375" s="6">
        <f>1373</f>
        <v>1373</v>
      </c>
      <c r="B1375" s="6" t="s">
        <v>1394</v>
      </c>
      <c r="C1375" s="6" t="s">
        <v>15</v>
      </c>
      <c r="D1375" s="6" t="s">
        <v>167</v>
      </c>
      <c r="E1375" s="6" t="s">
        <v>11</v>
      </c>
      <c r="F1375" s="6">
        <v>4</v>
      </c>
      <c r="G1375" s="6">
        <v>2419</v>
      </c>
    </row>
    <row r="1376" s="2" customFormat="true" ht="22.5" customHeight="true" spans="1:7">
      <c r="A1376" s="6">
        <f>1374</f>
        <v>1374</v>
      </c>
      <c r="B1376" s="6" t="s">
        <v>1395</v>
      </c>
      <c r="C1376" s="6" t="s">
        <v>9</v>
      </c>
      <c r="D1376" s="6" t="s">
        <v>146</v>
      </c>
      <c r="E1376" s="6" t="s">
        <v>17</v>
      </c>
      <c r="F1376" s="6">
        <v>3</v>
      </c>
      <c r="G1376" s="6">
        <v>2195</v>
      </c>
    </row>
    <row r="1377" s="2" customFormat="true" ht="22.5" customHeight="true" spans="1:7">
      <c r="A1377" s="6">
        <f>1375</f>
        <v>1375</v>
      </c>
      <c r="B1377" s="6" t="s">
        <v>1396</v>
      </c>
      <c r="C1377" s="6" t="s">
        <v>9</v>
      </c>
      <c r="D1377" s="6" t="s">
        <v>180</v>
      </c>
      <c r="E1377" s="6" t="s">
        <v>11</v>
      </c>
      <c r="F1377" s="6">
        <v>2</v>
      </c>
      <c r="G1377" s="6">
        <v>1027</v>
      </c>
    </row>
    <row r="1378" s="2" customFormat="true" ht="22.5" customHeight="true" spans="1:7">
      <c r="A1378" s="6">
        <f>1376</f>
        <v>1376</v>
      </c>
      <c r="B1378" s="6" t="s">
        <v>1397</v>
      </c>
      <c r="C1378" s="6" t="s">
        <v>15</v>
      </c>
      <c r="D1378" s="6" t="s">
        <v>188</v>
      </c>
      <c r="E1378" s="6" t="s">
        <v>17</v>
      </c>
      <c r="F1378" s="6">
        <v>1</v>
      </c>
      <c r="G1378" s="6">
        <v>744</v>
      </c>
    </row>
    <row r="1379" s="2" customFormat="true" ht="22.5" customHeight="true" spans="1:7">
      <c r="A1379" s="6">
        <f>1377</f>
        <v>1377</v>
      </c>
      <c r="B1379" s="6" t="s">
        <v>1398</v>
      </c>
      <c r="C1379" s="6" t="s">
        <v>15</v>
      </c>
      <c r="D1379" s="6" t="s">
        <v>143</v>
      </c>
      <c r="E1379" s="6" t="s">
        <v>17</v>
      </c>
      <c r="F1379" s="6">
        <v>1</v>
      </c>
      <c r="G1379" s="6">
        <v>694</v>
      </c>
    </row>
    <row r="1380" s="2" customFormat="true" ht="22.5" customHeight="true" spans="1:7">
      <c r="A1380" s="6">
        <f>1378</f>
        <v>1378</v>
      </c>
      <c r="B1380" s="6" t="s">
        <v>1399</v>
      </c>
      <c r="C1380" s="6" t="s">
        <v>15</v>
      </c>
      <c r="D1380" s="6" t="s">
        <v>222</v>
      </c>
      <c r="E1380" s="6" t="s">
        <v>11</v>
      </c>
      <c r="F1380" s="6">
        <v>3</v>
      </c>
      <c r="G1380" s="6">
        <v>2054</v>
      </c>
    </row>
    <row r="1381" s="2" customFormat="true" ht="22.5" customHeight="true" spans="1:7">
      <c r="A1381" s="6">
        <f>1379</f>
        <v>1379</v>
      </c>
      <c r="B1381" s="6" t="s">
        <v>1400</v>
      </c>
      <c r="C1381" s="6" t="s">
        <v>15</v>
      </c>
      <c r="D1381" s="6" t="s">
        <v>159</v>
      </c>
      <c r="E1381" s="6" t="s">
        <v>17</v>
      </c>
      <c r="F1381" s="6">
        <v>1</v>
      </c>
      <c r="G1381" s="6">
        <v>794</v>
      </c>
    </row>
    <row r="1382" s="2" customFormat="true" ht="22.5" customHeight="true" spans="1:7">
      <c r="A1382" s="6">
        <f>1380</f>
        <v>1380</v>
      </c>
      <c r="B1382" s="6" t="s">
        <v>1401</v>
      </c>
      <c r="C1382" s="6" t="s">
        <v>9</v>
      </c>
      <c r="D1382" s="6" t="s">
        <v>159</v>
      </c>
      <c r="E1382" s="6" t="s">
        <v>17</v>
      </c>
      <c r="F1382" s="6">
        <v>1</v>
      </c>
      <c r="G1382" s="6">
        <v>694</v>
      </c>
    </row>
    <row r="1383" s="2" customFormat="true" ht="22.5" customHeight="true" spans="1:7">
      <c r="A1383" s="6">
        <f>1381</f>
        <v>1381</v>
      </c>
      <c r="B1383" s="6" t="s">
        <v>1402</v>
      </c>
      <c r="C1383" s="6" t="s">
        <v>9</v>
      </c>
      <c r="D1383" s="6" t="s">
        <v>416</v>
      </c>
      <c r="E1383" s="6" t="s">
        <v>11</v>
      </c>
      <c r="F1383" s="6">
        <v>1</v>
      </c>
      <c r="G1383" s="6">
        <v>579</v>
      </c>
    </row>
    <row r="1384" s="2" customFormat="true" ht="22.5" customHeight="true" spans="1:7">
      <c r="A1384" s="6">
        <f>1382</f>
        <v>1382</v>
      </c>
      <c r="B1384" s="6" t="s">
        <v>1403</v>
      </c>
      <c r="C1384" s="6" t="s">
        <v>9</v>
      </c>
      <c r="D1384" s="6" t="s">
        <v>164</v>
      </c>
      <c r="E1384" s="6" t="s">
        <v>17</v>
      </c>
      <c r="F1384" s="6">
        <v>1</v>
      </c>
      <c r="G1384" s="6">
        <v>694</v>
      </c>
    </row>
    <row r="1385" s="2" customFormat="true" ht="22.5" customHeight="true" spans="1:7">
      <c r="A1385" s="6">
        <f>1383</f>
        <v>1383</v>
      </c>
      <c r="B1385" s="6" t="s">
        <v>1404</v>
      </c>
      <c r="C1385" s="6" t="s">
        <v>9</v>
      </c>
      <c r="D1385" s="6" t="s">
        <v>222</v>
      </c>
      <c r="E1385" s="6" t="s">
        <v>11</v>
      </c>
      <c r="F1385" s="6">
        <v>3</v>
      </c>
      <c r="G1385" s="6">
        <v>1992</v>
      </c>
    </row>
    <row r="1386" s="2" customFormat="true" ht="22.5" customHeight="true" spans="1:7">
      <c r="A1386" s="6">
        <f>1384</f>
        <v>1384</v>
      </c>
      <c r="B1386" s="6" t="s">
        <v>1405</v>
      </c>
      <c r="C1386" s="6" t="s">
        <v>9</v>
      </c>
      <c r="D1386" s="6" t="s">
        <v>167</v>
      </c>
      <c r="E1386" s="6" t="s">
        <v>11</v>
      </c>
      <c r="F1386" s="6">
        <v>2</v>
      </c>
      <c r="G1386" s="6">
        <v>1067</v>
      </c>
    </row>
    <row r="1387" s="2" customFormat="true" ht="22.5" customHeight="true" spans="1:7">
      <c r="A1387" s="6">
        <f>1385</f>
        <v>1385</v>
      </c>
      <c r="B1387" s="6" t="s">
        <v>1406</v>
      </c>
      <c r="C1387" s="6" t="s">
        <v>9</v>
      </c>
      <c r="D1387" s="6" t="s">
        <v>122</v>
      </c>
      <c r="E1387" s="6" t="s">
        <v>79</v>
      </c>
      <c r="F1387" s="6">
        <v>1</v>
      </c>
      <c r="G1387" s="6">
        <v>521</v>
      </c>
    </row>
    <row r="1388" s="2" customFormat="true" ht="22.5" customHeight="true" spans="1:7">
      <c r="A1388" s="6">
        <f>1386</f>
        <v>1386</v>
      </c>
      <c r="B1388" s="6" t="s">
        <v>1407</v>
      </c>
      <c r="C1388" s="6" t="s">
        <v>15</v>
      </c>
      <c r="D1388" s="6" t="s">
        <v>164</v>
      </c>
      <c r="E1388" s="6" t="s">
        <v>17</v>
      </c>
      <c r="F1388" s="6">
        <v>1</v>
      </c>
      <c r="G1388" s="6">
        <v>694</v>
      </c>
    </row>
    <row r="1389" s="2" customFormat="true" ht="22.5" customHeight="true" spans="1:7">
      <c r="A1389" s="6">
        <f>1387</f>
        <v>1387</v>
      </c>
      <c r="B1389" s="6" t="s">
        <v>1408</v>
      </c>
      <c r="C1389" s="6" t="s">
        <v>9</v>
      </c>
      <c r="D1389" s="6" t="s">
        <v>167</v>
      </c>
      <c r="E1389" s="6" t="s">
        <v>17</v>
      </c>
      <c r="F1389" s="6">
        <v>1</v>
      </c>
      <c r="G1389" s="6">
        <v>654</v>
      </c>
    </row>
    <row r="1390" s="2" customFormat="true" ht="22.5" customHeight="true" spans="1:7">
      <c r="A1390" s="6">
        <f>1388</f>
        <v>1388</v>
      </c>
      <c r="B1390" s="6" t="s">
        <v>1409</v>
      </c>
      <c r="C1390" s="6" t="s">
        <v>9</v>
      </c>
      <c r="D1390" s="6" t="s">
        <v>161</v>
      </c>
      <c r="E1390" s="6" t="s">
        <v>17</v>
      </c>
      <c r="F1390" s="6">
        <v>1</v>
      </c>
      <c r="G1390" s="6">
        <v>639</v>
      </c>
    </row>
    <row r="1391" s="2" customFormat="true" ht="22.5" customHeight="true" spans="1:7">
      <c r="A1391" s="6">
        <f>1389</f>
        <v>1389</v>
      </c>
      <c r="B1391" s="6" t="s">
        <v>1410</v>
      </c>
      <c r="C1391" s="6" t="s">
        <v>9</v>
      </c>
      <c r="D1391" s="6" t="s">
        <v>164</v>
      </c>
      <c r="E1391" s="6" t="s">
        <v>17</v>
      </c>
      <c r="F1391" s="6">
        <v>1</v>
      </c>
      <c r="G1391" s="6">
        <v>668</v>
      </c>
    </row>
    <row r="1392" s="2" customFormat="true" ht="22.5" customHeight="true" spans="1:7">
      <c r="A1392" s="6">
        <f>1390</f>
        <v>1390</v>
      </c>
      <c r="B1392" s="6" t="s">
        <v>1411</v>
      </c>
      <c r="C1392" s="6" t="s">
        <v>9</v>
      </c>
      <c r="D1392" s="6" t="s">
        <v>192</v>
      </c>
      <c r="E1392" s="6" t="s">
        <v>17</v>
      </c>
      <c r="F1392" s="6">
        <v>3</v>
      </c>
      <c r="G1392" s="6">
        <v>1911</v>
      </c>
    </row>
    <row r="1393" s="2" customFormat="true" ht="22.5" customHeight="true" spans="1:7">
      <c r="A1393" s="6">
        <f>1391</f>
        <v>1391</v>
      </c>
      <c r="B1393" s="6" t="s">
        <v>1412</v>
      </c>
      <c r="C1393" s="6" t="s">
        <v>15</v>
      </c>
      <c r="D1393" s="6" t="s">
        <v>167</v>
      </c>
      <c r="E1393" s="6" t="s">
        <v>11</v>
      </c>
      <c r="F1393" s="6">
        <v>3</v>
      </c>
      <c r="G1393" s="6">
        <v>2068</v>
      </c>
    </row>
    <row r="1394" s="2" customFormat="true" ht="22.5" customHeight="true" spans="1:7">
      <c r="A1394" s="6">
        <f>1392</f>
        <v>1392</v>
      </c>
      <c r="B1394" s="6" t="s">
        <v>1413</v>
      </c>
      <c r="C1394" s="6" t="s">
        <v>9</v>
      </c>
      <c r="D1394" s="6" t="s">
        <v>260</v>
      </c>
      <c r="E1394" s="6" t="s">
        <v>17</v>
      </c>
      <c r="F1394" s="6">
        <v>5</v>
      </c>
      <c r="G1394" s="6">
        <v>2779</v>
      </c>
    </row>
    <row r="1395" s="2" customFormat="true" ht="22.5" customHeight="true" spans="1:7">
      <c r="A1395" s="6">
        <f>1393</f>
        <v>1393</v>
      </c>
      <c r="B1395" s="6" t="s">
        <v>1414</v>
      </c>
      <c r="C1395" s="6" t="s">
        <v>15</v>
      </c>
      <c r="D1395" s="6" t="s">
        <v>19</v>
      </c>
      <c r="E1395" s="6" t="s">
        <v>11</v>
      </c>
      <c r="F1395" s="6">
        <v>1</v>
      </c>
      <c r="G1395" s="6">
        <v>636</v>
      </c>
    </row>
    <row r="1396" s="2" customFormat="true" ht="22.5" customHeight="true" spans="1:7">
      <c r="A1396" s="6">
        <f>1394</f>
        <v>1394</v>
      </c>
      <c r="B1396" s="6" t="s">
        <v>1415</v>
      </c>
      <c r="C1396" s="6" t="s">
        <v>15</v>
      </c>
      <c r="D1396" s="6" t="s">
        <v>19</v>
      </c>
      <c r="E1396" s="6" t="s">
        <v>11</v>
      </c>
      <c r="F1396" s="6">
        <v>2</v>
      </c>
      <c r="G1396" s="6">
        <v>1212</v>
      </c>
    </row>
    <row r="1397" s="2" customFormat="true" ht="22.5" customHeight="true" spans="1:7">
      <c r="A1397" s="6">
        <f>1395</f>
        <v>1395</v>
      </c>
      <c r="B1397" s="6" t="s">
        <v>1416</v>
      </c>
      <c r="C1397" s="6" t="s">
        <v>15</v>
      </c>
      <c r="D1397" s="6" t="s">
        <v>10</v>
      </c>
      <c r="E1397" s="6" t="s">
        <v>11</v>
      </c>
      <c r="F1397" s="6">
        <v>1</v>
      </c>
      <c r="G1397" s="6">
        <v>616</v>
      </c>
    </row>
    <row r="1398" s="2" customFormat="true" ht="22.5" customHeight="true" spans="1:7">
      <c r="A1398" s="6">
        <f>1396</f>
        <v>1396</v>
      </c>
      <c r="B1398" s="6" t="s">
        <v>1417</v>
      </c>
      <c r="C1398" s="6" t="s">
        <v>9</v>
      </c>
      <c r="D1398" s="6" t="s">
        <v>35</v>
      </c>
      <c r="E1398" s="6" t="s">
        <v>11</v>
      </c>
      <c r="F1398" s="6">
        <v>1</v>
      </c>
      <c r="G1398" s="6">
        <v>597</v>
      </c>
    </row>
    <row r="1399" s="2" customFormat="true" ht="22.5" customHeight="true" spans="1:7">
      <c r="A1399" s="6">
        <f>1397</f>
        <v>1397</v>
      </c>
      <c r="B1399" s="6" t="s">
        <v>1418</v>
      </c>
      <c r="C1399" s="6" t="s">
        <v>9</v>
      </c>
      <c r="D1399" s="6" t="s">
        <v>35</v>
      </c>
      <c r="E1399" s="6" t="s">
        <v>11</v>
      </c>
      <c r="F1399" s="6">
        <v>1</v>
      </c>
      <c r="G1399" s="6">
        <v>549</v>
      </c>
    </row>
    <row r="1400" s="2" customFormat="true" ht="22.5" customHeight="true" spans="1:7">
      <c r="A1400" s="6">
        <f>1398</f>
        <v>1398</v>
      </c>
      <c r="B1400" s="6" t="s">
        <v>1419</v>
      </c>
      <c r="C1400" s="6" t="s">
        <v>15</v>
      </c>
      <c r="D1400" s="6" t="s">
        <v>35</v>
      </c>
      <c r="E1400" s="6" t="s">
        <v>17</v>
      </c>
      <c r="F1400" s="6">
        <v>1</v>
      </c>
      <c r="G1400" s="6">
        <v>754</v>
      </c>
    </row>
    <row r="1401" s="2" customFormat="true" ht="22.5" customHeight="true" spans="1:7">
      <c r="A1401" s="6">
        <f>1399</f>
        <v>1399</v>
      </c>
      <c r="B1401" s="6" t="s">
        <v>1420</v>
      </c>
      <c r="C1401" s="6" t="s">
        <v>15</v>
      </c>
      <c r="D1401" s="6" t="s">
        <v>19</v>
      </c>
      <c r="E1401" s="6" t="s">
        <v>17</v>
      </c>
      <c r="F1401" s="6">
        <v>1</v>
      </c>
      <c r="G1401" s="6">
        <v>694</v>
      </c>
    </row>
    <row r="1402" s="2" customFormat="true" ht="22.5" customHeight="true" spans="1:7">
      <c r="A1402" s="6">
        <f>1400</f>
        <v>1400</v>
      </c>
      <c r="B1402" s="6" t="s">
        <v>1421</v>
      </c>
      <c r="C1402" s="6" t="s">
        <v>15</v>
      </c>
      <c r="D1402" s="6" t="s">
        <v>146</v>
      </c>
      <c r="E1402" s="6" t="s">
        <v>11</v>
      </c>
      <c r="F1402" s="6">
        <v>2</v>
      </c>
      <c r="G1402" s="6">
        <v>1352</v>
      </c>
    </row>
    <row r="1403" s="2" customFormat="true" ht="22.5" customHeight="true" spans="1:7">
      <c r="A1403" s="6">
        <f>1401</f>
        <v>1401</v>
      </c>
      <c r="B1403" s="6" t="s">
        <v>1422</v>
      </c>
      <c r="C1403" s="6" t="s">
        <v>9</v>
      </c>
      <c r="D1403" s="6" t="s">
        <v>146</v>
      </c>
      <c r="E1403" s="6" t="s">
        <v>11</v>
      </c>
      <c r="F1403" s="6">
        <v>2</v>
      </c>
      <c r="G1403" s="6">
        <v>1075</v>
      </c>
    </row>
    <row r="1404" s="2" customFormat="true" ht="22.5" customHeight="true" spans="1:7">
      <c r="A1404" s="6">
        <f>1402</f>
        <v>1402</v>
      </c>
      <c r="B1404" s="6" t="s">
        <v>1423</v>
      </c>
      <c r="C1404" s="6" t="s">
        <v>15</v>
      </c>
      <c r="D1404" s="6" t="s">
        <v>146</v>
      </c>
      <c r="E1404" s="6" t="s">
        <v>11</v>
      </c>
      <c r="F1404" s="6">
        <v>1</v>
      </c>
      <c r="G1404" s="6">
        <v>656</v>
      </c>
    </row>
    <row r="1405" s="2" customFormat="true" ht="22.5" customHeight="true" spans="1:7">
      <c r="A1405" s="6">
        <f>1403</f>
        <v>1403</v>
      </c>
      <c r="B1405" s="6" t="s">
        <v>1424</v>
      </c>
      <c r="C1405" s="6" t="s">
        <v>9</v>
      </c>
      <c r="D1405" s="6" t="s">
        <v>169</v>
      </c>
      <c r="E1405" s="6" t="s">
        <v>17</v>
      </c>
      <c r="F1405" s="6">
        <v>2</v>
      </c>
      <c r="G1405" s="6">
        <v>1233</v>
      </c>
    </row>
    <row r="1406" s="2" customFormat="true" ht="22.5" customHeight="true" spans="1:7">
      <c r="A1406" s="6">
        <f>1404</f>
        <v>1404</v>
      </c>
      <c r="B1406" s="6" t="s">
        <v>1425</v>
      </c>
      <c r="C1406" s="6" t="s">
        <v>15</v>
      </c>
      <c r="D1406" s="6" t="s">
        <v>136</v>
      </c>
      <c r="E1406" s="6" t="s">
        <v>17</v>
      </c>
      <c r="F1406" s="6">
        <v>1</v>
      </c>
      <c r="G1406" s="6">
        <v>580</v>
      </c>
    </row>
    <row r="1407" s="2" customFormat="true" ht="22.5" customHeight="true" spans="1:7">
      <c r="A1407" s="6">
        <f>1405</f>
        <v>1405</v>
      </c>
      <c r="B1407" s="6" t="s">
        <v>1426</v>
      </c>
      <c r="C1407" s="6" t="s">
        <v>9</v>
      </c>
      <c r="D1407" s="6" t="s">
        <v>169</v>
      </c>
      <c r="E1407" s="6" t="s">
        <v>17</v>
      </c>
      <c r="F1407" s="6">
        <v>2</v>
      </c>
      <c r="G1407" s="6">
        <v>994</v>
      </c>
    </row>
    <row r="1408" s="2" customFormat="true" ht="22.5" customHeight="true" spans="1:7">
      <c r="A1408" s="6">
        <f>1406</f>
        <v>1406</v>
      </c>
      <c r="B1408" s="6" t="s">
        <v>1427</v>
      </c>
      <c r="C1408" s="6" t="s">
        <v>9</v>
      </c>
      <c r="D1408" s="6" t="s">
        <v>136</v>
      </c>
      <c r="E1408" s="6" t="s">
        <v>17</v>
      </c>
      <c r="F1408" s="6">
        <v>1</v>
      </c>
      <c r="G1408" s="6">
        <v>654</v>
      </c>
    </row>
    <row r="1409" s="2" customFormat="true" ht="22.5" customHeight="true" spans="1:7">
      <c r="A1409" s="6">
        <f>1407</f>
        <v>1407</v>
      </c>
      <c r="B1409" s="6" t="s">
        <v>1428</v>
      </c>
      <c r="C1409" s="6" t="s">
        <v>9</v>
      </c>
      <c r="D1409" s="6" t="s">
        <v>146</v>
      </c>
      <c r="E1409" s="6" t="s">
        <v>79</v>
      </c>
      <c r="F1409" s="6">
        <v>1</v>
      </c>
      <c r="G1409" s="6">
        <v>471</v>
      </c>
    </row>
    <row r="1410" s="2" customFormat="true" ht="22.5" customHeight="true" spans="1:7">
      <c r="A1410" s="6">
        <f>1408</f>
        <v>1408</v>
      </c>
      <c r="B1410" s="6" t="s">
        <v>1429</v>
      </c>
      <c r="C1410" s="6" t="s">
        <v>9</v>
      </c>
      <c r="D1410" s="6" t="s">
        <v>13</v>
      </c>
      <c r="E1410" s="6" t="s">
        <v>17</v>
      </c>
      <c r="F1410" s="6">
        <v>1</v>
      </c>
      <c r="G1410" s="6">
        <v>637</v>
      </c>
    </row>
    <row r="1411" s="2" customFormat="true" ht="22.5" customHeight="true" spans="1:7">
      <c r="A1411" s="6">
        <f>1409</f>
        <v>1409</v>
      </c>
      <c r="B1411" s="6" t="s">
        <v>1430</v>
      </c>
      <c r="C1411" s="6" t="s">
        <v>9</v>
      </c>
      <c r="D1411" s="6" t="s">
        <v>222</v>
      </c>
      <c r="E1411" s="6" t="s">
        <v>17</v>
      </c>
      <c r="F1411" s="6">
        <v>3</v>
      </c>
      <c r="G1411" s="6">
        <v>1734</v>
      </c>
    </row>
    <row r="1412" s="2" customFormat="true" ht="22.5" customHeight="true" spans="1:7">
      <c r="A1412" s="6">
        <f>1410</f>
        <v>1410</v>
      </c>
      <c r="B1412" s="6" t="s">
        <v>1431</v>
      </c>
      <c r="C1412" s="6" t="s">
        <v>9</v>
      </c>
      <c r="D1412" s="6" t="s">
        <v>222</v>
      </c>
      <c r="E1412" s="6" t="s">
        <v>79</v>
      </c>
      <c r="F1412" s="6">
        <v>1</v>
      </c>
      <c r="G1412" s="6">
        <v>471</v>
      </c>
    </row>
    <row r="1413" s="2" customFormat="true" ht="22.5" customHeight="true" spans="1:7">
      <c r="A1413" s="6">
        <f>1411</f>
        <v>1411</v>
      </c>
      <c r="B1413" s="6" t="s">
        <v>1432</v>
      </c>
      <c r="C1413" s="6" t="s">
        <v>9</v>
      </c>
      <c r="D1413" s="6" t="s">
        <v>180</v>
      </c>
      <c r="E1413" s="6" t="s">
        <v>17</v>
      </c>
      <c r="F1413" s="6">
        <v>1</v>
      </c>
      <c r="G1413" s="6">
        <v>744</v>
      </c>
    </row>
    <row r="1414" s="2" customFormat="true" ht="22.5" customHeight="true" spans="1:7">
      <c r="A1414" s="6">
        <f>1412</f>
        <v>1412</v>
      </c>
      <c r="B1414" s="6" t="s">
        <v>1433</v>
      </c>
      <c r="C1414" s="6" t="s">
        <v>9</v>
      </c>
      <c r="D1414" s="6" t="s">
        <v>149</v>
      </c>
      <c r="E1414" s="6" t="s">
        <v>17</v>
      </c>
      <c r="F1414" s="6">
        <v>1</v>
      </c>
      <c r="G1414" s="6">
        <v>744</v>
      </c>
    </row>
    <row r="1415" s="2" customFormat="true" ht="22.5" customHeight="true" spans="1:7">
      <c r="A1415" s="6">
        <f>1413</f>
        <v>1413</v>
      </c>
      <c r="B1415" s="6" t="s">
        <v>1434</v>
      </c>
      <c r="C1415" s="6" t="s">
        <v>15</v>
      </c>
      <c r="D1415" s="6" t="s">
        <v>16</v>
      </c>
      <c r="E1415" s="6" t="s">
        <v>17</v>
      </c>
      <c r="F1415" s="6">
        <v>3</v>
      </c>
      <c r="G1415" s="6">
        <v>1932</v>
      </c>
    </row>
    <row r="1416" s="2" customFormat="true" ht="22.5" customHeight="true" spans="1:7">
      <c r="A1416" s="6">
        <f>1414</f>
        <v>1414</v>
      </c>
      <c r="B1416" s="6" t="s">
        <v>1435</v>
      </c>
      <c r="C1416" s="6" t="s">
        <v>9</v>
      </c>
      <c r="D1416" s="6" t="s">
        <v>13</v>
      </c>
      <c r="E1416" s="6" t="s">
        <v>11</v>
      </c>
      <c r="F1416" s="6">
        <v>1</v>
      </c>
      <c r="G1416" s="6">
        <v>669</v>
      </c>
    </row>
    <row r="1417" s="2" customFormat="true" ht="22.5" customHeight="true" spans="1:7">
      <c r="A1417" s="6">
        <f>1415</f>
        <v>1415</v>
      </c>
      <c r="B1417" s="6" t="s">
        <v>1436</v>
      </c>
      <c r="C1417" s="6" t="s">
        <v>9</v>
      </c>
      <c r="D1417" s="6" t="s">
        <v>143</v>
      </c>
      <c r="E1417" s="6" t="s">
        <v>11</v>
      </c>
      <c r="F1417" s="6">
        <v>2</v>
      </c>
      <c r="G1417" s="6">
        <v>1212</v>
      </c>
    </row>
    <row r="1418" s="2" customFormat="true" ht="22.5" customHeight="true" spans="1:7">
      <c r="A1418" s="6">
        <f>1416</f>
        <v>1416</v>
      </c>
      <c r="B1418" s="6" t="s">
        <v>1437</v>
      </c>
      <c r="C1418" s="6" t="s">
        <v>9</v>
      </c>
      <c r="D1418" s="6" t="s">
        <v>143</v>
      </c>
      <c r="E1418" s="6" t="s">
        <v>17</v>
      </c>
      <c r="F1418" s="6">
        <v>2</v>
      </c>
      <c r="G1418" s="6">
        <v>1280</v>
      </c>
    </row>
    <row r="1419" s="2" customFormat="true" ht="22.5" customHeight="true" spans="1:7">
      <c r="A1419" s="6">
        <f>1417</f>
        <v>1417</v>
      </c>
      <c r="B1419" s="6" t="s">
        <v>1438</v>
      </c>
      <c r="C1419" s="6" t="s">
        <v>9</v>
      </c>
      <c r="D1419" s="6" t="s">
        <v>143</v>
      </c>
      <c r="E1419" s="6" t="s">
        <v>11</v>
      </c>
      <c r="F1419" s="6">
        <v>5</v>
      </c>
      <c r="G1419" s="6">
        <v>2789</v>
      </c>
    </row>
    <row r="1420" s="2" customFormat="true" ht="22.5" customHeight="true" spans="1:7">
      <c r="A1420" s="6">
        <f>1418</f>
        <v>1418</v>
      </c>
      <c r="B1420" s="6" t="s">
        <v>1439</v>
      </c>
      <c r="C1420" s="6" t="s">
        <v>9</v>
      </c>
      <c r="D1420" s="6" t="s">
        <v>188</v>
      </c>
      <c r="E1420" s="6" t="s">
        <v>17</v>
      </c>
      <c r="F1420" s="6">
        <v>4</v>
      </c>
      <c r="G1420" s="6">
        <v>2488</v>
      </c>
    </row>
    <row r="1421" s="2" customFormat="true" ht="22.5" customHeight="true" spans="1:7">
      <c r="A1421" s="6">
        <f>1419</f>
        <v>1419</v>
      </c>
      <c r="B1421" s="6" t="s">
        <v>1440</v>
      </c>
      <c r="C1421" s="6" t="s">
        <v>9</v>
      </c>
      <c r="D1421" s="6" t="s">
        <v>122</v>
      </c>
      <c r="E1421" s="6" t="s">
        <v>17</v>
      </c>
      <c r="F1421" s="6">
        <v>2</v>
      </c>
      <c r="G1421" s="6">
        <v>1250</v>
      </c>
    </row>
    <row r="1422" s="2" customFormat="true" ht="22.5" customHeight="true" spans="1:7">
      <c r="A1422" s="6">
        <f>1420</f>
        <v>1420</v>
      </c>
      <c r="B1422" s="6" t="s">
        <v>1441</v>
      </c>
      <c r="C1422" s="6" t="s">
        <v>15</v>
      </c>
      <c r="D1422" s="6" t="s">
        <v>129</v>
      </c>
      <c r="E1422" s="6" t="s">
        <v>17</v>
      </c>
      <c r="F1422" s="6">
        <v>1</v>
      </c>
      <c r="G1422" s="6">
        <v>640</v>
      </c>
    </row>
    <row r="1423" s="2" customFormat="true" ht="22.5" customHeight="true" spans="1:7">
      <c r="A1423" s="6">
        <f>1421</f>
        <v>1421</v>
      </c>
      <c r="B1423" s="6" t="s">
        <v>285</v>
      </c>
      <c r="C1423" s="6" t="s">
        <v>15</v>
      </c>
      <c r="D1423" s="6" t="s">
        <v>222</v>
      </c>
      <c r="E1423" s="6" t="s">
        <v>17</v>
      </c>
      <c r="F1423" s="6">
        <v>1</v>
      </c>
      <c r="G1423" s="6">
        <v>726</v>
      </c>
    </row>
    <row r="1424" s="2" customFormat="true" ht="22.5" customHeight="true" spans="1:7">
      <c r="A1424" s="6">
        <f>1422</f>
        <v>1422</v>
      </c>
      <c r="B1424" s="6" t="s">
        <v>1442</v>
      </c>
      <c r="C1424" s="6" t="s">
        <v>9</v>
      </c>
      <c r="D1424" s="6" t="s">
        <v>122</v>
      </c>
      <c r="E1424" s="6" t="s">
        <v>17</v>
      </c>
      <c r="F1424" s="6">
        <v>2</v>
      </c>
      <c r="G1424" s="6">
        <v>1193</v>
      </c>
    </row>
    <row r="1425" s="2" customFormat="true" ht="22.5" customHeight="true" spans="1:7">
      <c r="A1425" s="6">
        <f>1423</f>
        <v>1423</v>
      </c>
      <c r="B1425" s="6" t="s">
        <v>1443</v>
      </c>
      <c r="C1425" s="6" t="s">
        <v>15</v>
      </c>
      <c r="D1425" s="6" t="s">
        <v>122</v>
      </c>
      <c r="E1425" s="6" t="s">
        <v>11</v>
      </c>
      <c r="F1425" s="6">
        <v>1</v>
      </c>
      <c r="G1425" s="6">
        <v>579</v>
      </c>
    </row>
    <row r="1426" s="2" customFormat="true" ht="22.5" customHeight="true" spans="1:7">
      <c r="A1426" s="6">
        <f>1424</f>
        <v>1424</v>
      </c>
      <c r="B1426" s="6" t="s">
        <v>1444</v>
      </c>
      <c r="C1426" s="6" t="s">
        <v>9</v>
      </c>
      <c r="D1426" s="6" t="s">
        <v>180</v>
      </c>
      <c r="E1426" s="6" t="s">
        <v>11</v>
      </c>
      <c r="F1426" s="6">
        <v>1</v>
      </c>
      <c r="G1426" s="6">
        <v>581</v>
      </c>
    </row>
    <row r="1427" s="2" customFormat="true" ht="22.5" customHeight="true" spans="1:7">
      <c r="A1427" s="6">
        <f>1425</f>
        <v>1425</v>
      </c>
      <c r="B1427" s="6" t="s">
        <v>1445</v>
      </c>
      <c r="C1427" s="6" t="s">
        <v>9</v>
      </c>
      <c r="D1427" s="6" t="s">
        <v>180</v>
      </c>
      <c r="E1427" s="6" t="s">
        <v>17</v>
      </c>
      <c r="F1427" s="6">
        <v>2</v>
      </c>
      <c r="G1427" s="6">
        <v>1276</v>
      </c>
    </row>
    <row r="1428" s="2" customFormat="true" ht="22.5" customHeight="true" spans="1:7">
      <c r="A1428" s="6">
        <f>1426</f>
        <v>1426</v>
      </c>
      <c r="B1428" s="6" t="s">
        <v>1446</v>
      </c>
      <c r="C1428" s="6" t="s">
        <v>9</v>
      </c>
      <c r="D1428" s="6" t="s">
        <v>129</v>
      </c>
      <c r="E1428" s="6" t="s">
        <v>17</v>
      </c>
      <c r="F1428" s="6">
        <v>3</v>
      </c>
      <c r="G1428" s="6">
        <v>1457</v>
      </c>
    </row>
    <row r="1429" s="2" customFormat="true" ht="22.5" customHeight="true" spans="1:7">
      <c r="A1429" s="6">
        <f>1427</f>
        <v>1427</v>
      </c>
      <c r="B1429" s="6" t="s">
        <v>1447</v>
      </c>
      <c r="C1429" s="6" t="s">
        <v>9</v>
      </c>
      <c r="D1429" s="6" t="s">
        <v>143</v>
      </c>
      <c r="E1429" s="6" t="s">
        <v>17</v>
      </c>
      <c r="F1429" s="6">
        <v>1</v>
      </c>
      <c r="G1429" s="6">
        <v>708</v>
      </c>
    </row>
    <row r="1430" s="2" customFormat="true" ht="22.5" customHeight="true" spans="1:7">
      <c r="A1430" s="6">
        <f>1428</f>
        <v>1428</v>
      </c>
      <c r="B1430" s="6" t="s">
        <v>1448</v>
      </c>
      <c r="C1430" s="6" t="s">
        <v>15</v>
      </c>
      <c r="D1430" s="6" t="s">
        <v>159</v>
      </c>
      <c r="E1430" s="6" t="s">
        <v>11</v>
      </c>
      <c r="F1430" s="6">
        <v>2</v>
      </c>
      <c r="G1430" s="6">
        <v>1000</v>
      </c>
    </row>
    <row r="1431" s="2" customFormat="true" ht="22.5" customHeight="true" spans="1:7">
      <c r="A1431" s="6">
        <f>1429</f>
        <v>1429</v>
      </c>
      <c r="B1431" s="6" t="s">
        <v>1449</v>
      </c>
      <c r="C1431" s="6" t="s">
        <v>15</v>
      </c>
      <c r="D1431" s="6" t="s">
        <v>146</v>
      </c>
      <c r="E1431" s="6" t="s">
        <v>17</v>
      </c>
      <c r="F1431" s="6">
        <v>1</v>
      </c>
      <c r="G1431" s="6">
        <v>636</v>
      </c>
    </row>
    <row r="1432" s="2" customFormat="true" ht="22.5" customHeight="true" spans="1:7">
      <c r="A1432" s="6">
        <f>1430</f>
        <v>1430</v>
      </c>
      <c r="B1432" s="6" t="s">
        <v>1450</v>
      </c>
      <c r="C1432" s="6" t="s">
        <v>9</v>
      </c>
      <c r="D1432" s="6" t="s">
        <v>146</v>
      </c>
      <c r="E1432" s="6" t="s">
        <v>11</v>
      </c>
      <c r="F1432" s="6">
        <v>2</v>
      </c>
      <c r="G1432" s="6">
        <v>1171</v>
      </c>
    </row>
    <row r="1433" s="2" customFormat="true" ht="22.5" customHeight="true" spans="1:7">
      <c r="A1433" s="6">
        <f>1431</f>
        <v>1431</v>
      </c>
      <c r="B1433" s="6" t="s">
        <v>1451</v>
      </c>
      <c r="C1433" s="6" t="s">
        <v>9</v>
      </c>
      <c r="D1433" s="6" t="s">
        <v>131</v>
      </c>
      <c r="E1433" s="6" t="s">
        <v>17</v>
      </c>
      <c r="F1433" s="6">
        <v>2</v>
      </c>
      <c r="G1433" s="6">
        <v>1243</v>
      </c>
    </row>
    <row r="1434" s="2" customFormat="true" ht="22.5" customHeight="true" spans="1:7">
      <c r="A1434" s="6">
        <f>1432</f>
        <v>1432</v>
      </c>
      <c r="B1434" s="6" t="s">
        <v>1452</v>
      </c>
      <c r="C1434" s="6" t="s">
        <v>9</v>
      </c>
      <c r="D1434" s="6" t="s">
        <v>167</v>
      </c>
      <c r="E1434" s="6" t="s">
        <v>17</v>
      </c>
      <c r="F1434" s="6">
        <v>1</v>
      </c>
      <c r="G1434" s="6">
        <v>734</v>
      </c>
    </row>
    <row r="1435" s="2" customFormat="true" ht="22.5" customHeight="true" spans="1:7">
      <c r="A1435" s="6">
        <f>1433</f>
        <v>1433</v>
      </c>
      <c r="B1435" s="6" t="s">
        <v>1453</v>
      </c>
      <c r="C1435" s="6" t="s">
        <v>15</v>
      </c>
      <c r="D1435" s="6" t="s">
        <v>167</v>
      </c>
      <c r="E1435" s="6" t="s">
        <v>17</v>
      </c>
      <c r="F1435" s="6">
        <v>1</v>
      </c>
      <c r="G1435" s="6">
        <v>694</v>
      </c>
    </row>
    <row r="1436" s="2" customFormat="true" ht="22.5" customHeight="true" spans="1:7">
      <c r="A1436" s="6">
        <f>1434</f>
        <v>1434</v>
      </c>
      <c r="B1436" s="6" t="s">
        <v>1454</v>
      </c>
      <c r="C1436" s="6" t="s">
        <v>15</v>
      </c>
      <c r="D1436" s="6" t="s">
        <v>35</v>
      </c>
      <c r="E1436" s="6" t="s">
        <v>17</v>
      </c>
      <c r="F1436" s="6">
        <v>2</v>
      </c>
      <c r="G1436" s="6">
        <v>1412</v>
      </c>
    </row>
    <row r="1437" s="2" customFormat="true" ht="22.5" customHeight="true" spans="1:7">
      <c r="A1437" s="6">
        <f>1435</f>
        <v>1435</v>
      </c>
      <c r="B1437" s="6" t="s">
        <v>1455</v>
      </c>
      <c r="C1437" s="6" t="s">
        <v>9</v>
      </c>
      <c r="D1437" s="6" t="s">
        <v>222</v>
      </c>
      <c r="E1437" s="6" t="s">
        <v>17</v>
      </c>
      <c r="F1437" s="6">
        <v>3</v>
      </c>
      <c r="G1437" s="6">
        <v>1882</v>
      </c>
    </row>
    <row r="1438" s="2" customFormat="true" ht="22.5" customHeight="true" spans="1:7">
      <c r="A1438" s="6">
        <f>1436</f>
        <v>1436</v>
      </c>
      <c r="B1438" s="6" t="s">
        <v>1456</v>
      </c>
      <c r="C1438" s="6" t="s">
        <v>15</v>
      </c>
      <c r="D1438" s="6" t="s">
        <v>146</v>
      </c>
      <c r="E1438" s="6" t="s">
        <v>11</v>
      </c>
      <c r="F1438" s="6">
        <v>1</v>
      </c>
      <c r="G1438" s="6">
        <v>676</v>
      </c>
    </row>
    <row r="1439" s="2" customFormat="true" ht="22.5" customHeight="true" spans="1:7">
      <c r="A1439" s="6">
        <f>1437</f>
        <v>1437</v>
      </c>
      <c r="B1439" s="6" t="s">
        <v>1457</v>
      </c>
      <c r="C1439" s="6" t="s">
        <v>9</v>
      </c>
      <c r="D1439" s="6" t="s">
        <v>270</v>
      </c>
      <c r="E1439" s="6" t="s">
        <v>17</v>
      </c>
      <c r="F1439" s="6">
        <v>2</v>
      </c>
      <c r="G1439" s="6">
        <v>1250</v>
      </c>
    </row>
    <row r="1440" s="2" customFormat="true" ht="22.5" customHeight="true" spans="1:7">
      <c r="A1440" s="6">
        <f>1438</f>
        <v>1438</v>
      </c>
      <c r="B1440" s="6" t="s">
        <v>1458</v>
      </c>
      <c r="C1440" s="6" t="s">
        <v>9</v>
      </c>
      <c r="D1440" s="6" t="s">
        <v>143</v>
      </c>
      <c r="E1440" s="6" t="s">
        <v>11</v>
      </c>
      <c r="F1440" s="6">
        <v>2</v>
      </c>
      <c r="G1440" s="6">
        <v>1232</v>
      </c>
    </row>
    <row r="1441" s="2" customFormat="true" ht="22.5" customHeight="true" spans="1:7">
      <c r="A1441" s="6">
        <f>1439</f>
        <v>1439</v>
      </c>
      <c r="B1441" s="6" t="s">
        <v>1459</v>
      </c>
      <c r="C1441" s="6" t="s">
        <v>15</v>
      </c>
      <c r="D1441" s="6" t="s">
        <v>167</v>
      </c>
      <c r="E1441" s="6" t="s">
        <v>11</v>
      </c>
      <c r="F1441" s="6">
        <v>1</v>
      </c>
      <c r="G1441" s="6">
        <v>608</v>
      </c>
    </row>
    <row r="1442" s="2" customFormat="true" ht="22.5" customHeight="true" spans="1:7">
      <c r="A1442" s="6">
        <f>1440</f>
        <v>1440</v>
      </c>
      <c r="B1442" s="6" t="s">
        <v>1460</v>
      </c>
      <c r="C1442" s="6" t="s">
        <v>9</v>
      </c>
      <c r="D1442" s="6" t="s">
        <v>146</v>
      </c>
      <c r="E1442" s="6" t="s">
        <v>17</v>
      </c>
      <c r="F1442" s="6">
        <v>2</v>
      </c>
      <c r="G1442" s="6">
        <v>1233</v>
      </c>
    </row>
    <row r="1443" s="2" customFormat="true" ht="22.5" customHeight="true" spans="1:7">
      <c r="A1443" s="6">
        <f>1441</f>
        <v>1441</v>
      </c>
      <c r="B1443" s="6" t="s">
        <v>1461</v>
      </c>
      <c r="C1443" s="6" t="s">
        <v>15</v>
      </c>
      <c r="D1443" s="6" t="s">
        <v>239</v>
      </c>
      <c r="E1443" s="6" t="s">
        <v>17</v>
      </c>
      <c r="F1443" s="6">
        <v>1</v>
      </c>
      <c r="G1443" s="6">
        <v>649</v>
      </c>
    </row>
    <row r="1444" s="2" customFormat="true" ht="22.5" customHeight="true" spans="1:7">
      <c r="A1444" s="6">
        <f>1442</f>
        <v>1442</v>
      </c>
      <c r="B1444" s="6" t="s">
        <v>1462</v>
      </c>
      <c r="C1444" s="6" t="s">
        <v>9</v>
      </c>
      <c r="D1444" s="6" t="s">
        <v>270</v>
      </c>
      <c r="E1444" s="6" t="s">
        <v>11</v>
      </c>
      <c r="F1444" s="6">
        <v>2</v>
      </c>
      <c r="G1444" s="6">
        <v>1148</v>
      </c>
    </row>
    <row r="1445" s="2" customFormat="true" ht="22.5" customHeight="true" spans="1:7">
      <c r="A1445" s="6">
        <f>1443</f>
        <v>1443</v>
      </c>
      <c r="B1445" s="6" t="s">
        <v>1463</v>
      </c>
      <c r="C1445" s="6" t="s">
        <v>9</v>
      </c>
      <c r="D1445" s="6" t="s">
        <v>239</v>
      </c>
      <c r="E1445" s="6" t="s">
        <v>17</v>
      </c>
      <c r="F1445" s="6">
        <v>1</v>
      </c>
      <c r="G1445" s="6">
        <v>631</v>
      </c>
    </row>
    <row r="1446" s="2" customFormat="true" ht="22.5" customHeight="true" spans="1:7">
      <c r="A1446" s="6">
        <f>1444</f>
        <v>1444</v>
      </c>
      <c r="B1446" s="6" t="s">
        <v>1464</v>
      </c>
      <c r="C1446" s="6" t="s">
        <v>9</v>
      </c>
      <c r="D1446" s="6" t="s">
        <v>222</v>
      </c>
      <c r="E1446" s="6" t="s">
        <v>17</v>
      </c>
      <c r="F1446" s="6">
        <v>2</v>
      </c>
      <c r="G1446" s="6">
        <v>1213</v>
      </c>
    </row>
    <row r="1447" s="2" customFormat="true" ht="22.5" customHeight="true" spans="1:7">
      <c r="A1447" s="6">
        <f>1445</f>
        <v>1445</v>
      </c>
      <c r="B1447" s="6" t="s">
        <v>1465</v>
      </c>
      <c r="C1447" s="6" t="s">
        <v>15</v>
      </c>
      <c r="D1447" s="6" t="s">
        <v>260</v>
      </c>
      <c r="E1447" s="6" t="s">
        <v>17</v>
      </c>
      <c r="F1447" s="6">
        <v>1</v>
      </c>
      <c r="G1447" s="6">
        <v>649</v>
      </c>
    </row>
    <row r="1448" s="2" customFormat="true" ht="22.5" customHeight="true" spans="1:7">
      <c r="A1448" s="6">
        <f>1446</f>
        <v>1446</v>
      </c>
      <c r="B1448" s="6" t="s">
        <v>1466</v>
      </c>
      <c r="C1448" s="6" t="s">
        <v>9</v>
      </c>
      <c r="D1448" s="6" t="s">
        <v>239</v>
      </c>
      <c r="E1448" s="6" t="s">
        <v>17</v>
      </c>
      <c r="F1448" s="6">
        <v>3</v>
      </c>
      <c r="G1448" s="6">
        <v>2006</v>
      </c>
    </row>
    <row r="1449" s="2" customFormat="true" ht="22.5" customHeight="true" spans="1:7">
      <c r="A1449" s="6">
        <f>1447</f>
        <v>1447</v>
      </c>
      <c r="B1449" s="6" t="s">
        <v>1467</v>
      </c>
      <c r="C1449" s="6" t="s">
        <v>9</v>
      </c>
      <c r="D1449" s="6" t="s">
        <v>124</v>
      </c>
      <c r="E1449" s="6" t="s">
        <v>17</v>
      </c>
      <c r="F1449" s="6">
        <v>2</v>
      </c>
      <c r="G1449" s="6">
        <v>1308</v>
      </c>
    </row>
    <row r="1450" s="2" customFormat="true" ht="22.5" customHeight="true" spans="1:7">
      <c r="A1450" s="6">
        <f>1448</f>
        <v>1448</v>
      </c>
      <c r="B1450" s="6" t="s">
        <v>1468</v>
      </c>
      <c r="C1450" s="6" t="s">
        <v>9</v>
      </c>
      <c r="D1450" s="6" t="s">
        <v>188</v>
      </c>
      <c r="E1450" s="6" t="s">
        <v>79</v>
      </c>
      <c r="F1450" s="6">
        <v>1</v>
      </c>
      <c r="G1450" s="6">
        <v>438</v>
      </c>
    </row>
    <row r="1451" s="2" customFormat="true" ht="22.5" customHeight="true" spans="1:7">
      <c r="A1451" s="6">
        <f>1449</f>
        <v>1449</v>
      </c>
      <c r="B1451" s="6" t="s">
        <v>1469</v>
      </c>
      <c r="C1451" s="6" t="s">
        <v>15</v>
      </c>
      <c r="D1451" s="6" t="s">
        <v>270</v>
      </c>
      <c r="E1451" s="6" t="s">
        <v>17</v>
      </c>
      <c r="F1451" s="6">
        <v>3</v>
      </c>
      <c r="G1451" s="6">
        <v>1689</v>
      </c>
    </row>
    <row r="1452" s="2" customFormat="true" ht="22.5" customHeight="true" spans="1:7">
      <c r="A1452" s="6">
        <f>1450</f>
        <v>1450</v>
      </c>
      <c r="B1452" s="6" t="s">
        <v>1470</v>
      </c>
      <c r="C1452" s="6" t="s">
        <v>15</v>
      </c>
      <c r="D1452" s="6" t="s">
        <v>416</v>
      </c>
      <c r="E1452" s="6" t="s">
        <v>11</v>
      </c>
      <c r="F1452" s="6">
        <v>3</v>
      </c>
      <c r="G1452" s="6">
        <v>1691</v>
      </c>
    </row>
    <row r="1453" s="2" customFormat="true" ht="22.5" customHeight="true" spans="1:7">
      <c r="A1453" s="6">
        <f>1451</f>
        <v>1451</v>
      </c>
      <c r="B1453" s="6" t="s">
        <v>1471</v>
      </c>
      <c r="C1453" s="6" t="s">
        <v>9</v>
      </c>
      <c r="D1453" s="6" t="s">
        <v>136</v>
      </c>
      <c r="E1453" s="6" t="s">
        <v>17</v>
      </c>
      <c r="F1453" s="6">
        <v>2</v>
      </c>
      <c r="G1453" s="6">
        <v>1352</v>
      </c>
    </row>
    <row r="1454" s="2" customFormat="true" ht="22.5" customHeight="true" spans="1:7">
      <c r="A1454" s="6">
        <f>1452</f>
        <v>1452</v>
      </c>
      <c r="B1454" s="6" t="s">
        <v>1472</v>
      </c>
      <c r="C1454" s="6" t="s">
        <v>15</v>
      </c>
      <c r="D1454" s="6" t="s">
        <v>185</v>
      </c>
      <c r="E1454" s="6" t="s">
        <v>17</v>
      </c>
      <c r="F1454" s="6">
        <v>1</v>
      </c>
      <c r="G1454" s="6">
        <v>636</v>
      </c>
    </row>
    <row r="1455" s="2" customFormat="true" ht="22.5" customHeight="true" spans="1:7">
      <c r="A1455" s="6">
        <f>1453</f>
        <v>1453</v>
      </c>
      <c r="B1455" s="6" t="s">
        <v>1473</v>
      </c>
      <c r="C1455" s="6" t="s">
        <v>15</v>
      </c>
      <c r="D1455" s="6" t="s">
        <v>185</v>
      </c>
      <c r="E1455" s="6" t="s">
        <v>17</v>
      </c>
      <c r="F1455" s="6">
        <v>1</v>
      </c>
      <c r="G1455" s="6">
        <v>690</v>
      </c>
    </row>
    <row r="1456" s="2" customFormat="true" ht="22.5" customHeight="true" spans="1:7">
      <c r="A1456" s="6">
        <f>1454</f>
        <v>1454</v>
      </c>
      <c r="B1456" s="6" t="s">
        <v>1474</v>
      </c>
      <c r="C1456" s="6" t="s">
        <v>9</v>
      </c>
      <c r="D1456" s="6" t="s">
        <v>182</v>
      </c>
      <c r="E1456" s="6" t="s">
        <v>17</v>
      </c>
      <c r="F1456" s="6">
        <v>2</v>
      </c>
      <c r="G1456" s="6">
        <v>1045</v>
      </c>
    </row>
    <row r="1457" s="2" customFormat="true" ht="22.5" customHeight="true" spans="1:7">
      <c r="A1457" s="6">
        <f>1455</f>
        <v>1455</v>
      </c>
      <c r="B1457" s="6" t="s">
        <v>1475</v>
      </c>
      <c r="C1457" s="6" t="s">
        <v>15</v>
      </c>
      <c r="D1457" s="6" t="s">
        <v>182</v>
      </c>
      <c r="E1457" s="6" t="s">
        <v>17</v>
      </c>
      <c r="F1457" s="6">
        <v>1</v>
      </c>
      <c r="G1457" s="6">
        <v>649</v>
      </c>
    </row>
    <row r="1458" s="2" customFormat="true" ht="22.5" customHeight="true" spans="1:7">
      <c r="A1458" s="6">
        <f>1456</f>
        <v>1456</v>
      </c>
      <c r="B1458" s="6" t="s">
        <v>1476</v>
      </c>
      <c r="C1458" s="6" t="s">
        <v>9</v>
      </c>
      <c r="D1458" s="6" t="s">
        <v>167</v>
      </c>
      <c r="E1458" s="6" t="s">
        <v>79</v>
      </c>
      <c r="F1458" s="6">
        <v>1</v>
      </c>
      <c r="G1458" s="6">
        <v>552</v>
      </c>
    </row>
    <row r="1459" s="2" customFormat="true" ht="22.5" customHeight="true" spans="1:7">
      <c r="A1459" s="6">
        <f>1457</f>
        <v>1457</v>
      </c>
      <c r="B1459" s="6" t="s">
        <v>1477</v>
      </c>
      <c r="C1459" s="6" t="s">
        <v>9</v>
      </c>
      <c r="D1459" s="6" t="s">
        <v>164</v>
      </c>
      <c r="E1459" s="6" t="s">
        <v>17</v>
      </c>
      <c r="F1459" s="6">
        <v>1</v>
      </c>
      <c r="G1459" s="6">
        <v>649</v>
      </c>
    </row>
    <row r="1460" s="2" customFormat="true" ht="22.5" customHeight="true" spans="1:7">
      <c r="A1460" s="6">
        <f>1458</f>
        <v>1458</v>
      </c>
      <c r="B1460" s="6" t="s">
        <v>1478</v>
      </c>
      <c r="C1460" s="6" t="s">
        <v>9</v>
      </c>
      <c r="D1460" s="6" t="s">
        <v>136</v>
      </c>
      <c r="E1460" s="6" t="s">
        <v>17</v>
      </c>
      <c r="F1460" s="6">
        <v>1</v>
      </c>
      <c r="G1460" s="6">
        <v>649</v>
      </c>
    </row>
    <row r="1461" s="2" customFormat="true" ht="22.5" customHeight="true" spans="1:7">
      <c r="A1461" s="6">
        <f>1459</f>
        <v>1459</v>
      </c>
      <c r="B1461" s="6" t="s">
        <v>1479</v>
      </c>
      <c r="C1461" s="6" t="s">
        <v>15</v>
      </c>
      <c r="D1461" s="6" t="s">
        <v>185</v>
      </c>
      <c r="E1461" s="6" t="s">
        <v>17</v>
      </c>
      <c r="F1461" s="6">
        <v>1</v>
      </c>
      <c r="G1461" s="6">
        <v>744</v>
      </c>
    </row>
    <row r="1462" s="2" customFormat="true" ht="22.5" customHeight="true" spans="1:7">
      <c r="A1462" s="6">
        <f>1460</f>
        <v>1460</v>
      </c>
      <c r="B1462" s="6" t="s">
        <v>1480</v>
      </c>
      <c r="C1462" s="6" t="s">
        <v>15</v>
      </c>
      <c r="D1462" s="6" t="s">
        <v>416</v>
      </c>
      <c r="E1462" s="6" t="s">
        <v>17</v>
      </c>
      <c r="F1462" s="6">
        <v>4</v>
      </c>
      <c r="G1462" s="6">
        <v>2053</v>
      </c>
    </row>
    <row r="1463" s="2" customFormat="true" ht="22.5" customHeight="true" spans="1:7">
      <c r="A1463" s="6">
        <f>1461</f>
        <v>1461</v>
      </c>
      <c r="B1463" s="6" t="s">
        <v>1481</v>
      </c>
      <c r="C1463" s="6" t="s">
        <v>9</v>
      </c>
      <c r="D1463" s="6" t="s">
        <v>270</v>
      </c>
      <c r="E1463" s="6" t="s">
        <v>11</v>
      </c>
      <c r="F1463" s="6">
        <v>1</v>
      </c>
      <c r="G1463" s="6">
        <v>614</v>
      </c>
    </row>
    <row r="1464" s="2" customFormat="true" ht="22.5" customHeight="true" spans="1:7">
      <c r="A1464" s="6">
        <f>1462</f>
        <v>1462</v>
      </c>
      <c r="B1464" s="6" t="s">
        <v>1482</v>
      </c>
      <c r="C1464" s="6" t="s">
        <v>9</v>
      </c>
      <c r="D1464" s="6" t="s">
        <v>122</v>
      </c>
      <c r="E1464" s="6" t="s">
        <v>17</v>
      </c>
      <c r="F1464" s="6">
        <v>2</v>
      </c>
      <c r="G1464" s="6">
        <v>1250</v>
      </c>
    </row>
    <row r="1465" s="2" customFormat="true" ht="22.5" customHeight="true" spans="1:7">
      <c r="A1465" s="6">
        <f>1463</f>
        <v>1463</v>
      </c>
      <c r="B1465" s="6" t="s">
        <v>1483</v>
      </c>
      <c r="C1465" s="6" t="s">
        <v>9</v>
      </c>
      <c r="D1465" s="6" t="s">
        <v>182</v>
      </c>
      <c r="E1465" s="6" t="s">
        <v>17</v>
      </c>
      <c r="F1465" s="6">
        <v>2</v>
      </c>
      <c r="G1465" s="6">
        <v>1482</v>
      </c>
    </row>
    <row r="1466" s="2" customFormat="true" ht="22.5" customHeight="true" spans="1:7">
      <c r="A1466" s="6">
        <f>1464</f>
        <v>1464</v>
      </c>
      <c r="B1466" s="6" t="s">
        <v>1484</v>
      </c>
      <c r="C1466" s="6" t="s">
        <v>15</v>
      </c>
      <c r="D1466" s="6" t="s">
        <v>10</v>
      </c>
      <c r="E1466" s="6" t="s">
        <v>11</v>
      </c>
      <c r="F1466" s="6">
        <v>1</v>
      </c>
      <c r="G1466" s="6">
        <v>622</v>
      </c>
    </row>
    <row r="1467" s="2" customFormat="true" ht="22.5" customHeight="true" spans="1:7">
      <c r="A1467" s="6">
        <f>1465</f>
        <v>1465</v>
      </c>
      <c r="B1467" s="6" t="s">
        <v>1485</v>
      </c>
      <c r="C1467" s="6" t="s">
        <v>15</v>
      </c>
      <c r="D1467" s="6" t="s">
        <v>35</v>
      </c>
      <c r="E1467" s="6" t="s">
        <v>17</v>
      </c>
      <c r="F1467" s="6">
        <v>1</v>
      </c>
      <c r="G1467" s="6">
        <v>614</v>
      </c>
    </row>
    <row r="1468" s="2" customFormat="true" ht="22.5" customHeight="true" spans="1:7">
      <c r="A1468" s="6">
        <f>1466</f>
        <v>1466</v>
      </c>
      <c r="B1468" s="6" t="s">
        <v>1486</v>
      </c>
      <c r="C1468" s="6" t="s">
        <v>9</v>
      </c>
      <c r="D1468" s="6" t="s">
        <v>19</v>
      </c>
      <c r="E1468" s="6" t="s">
        <v>17</v>
      </c>
      <c r="F1468" s="6">
        <v>1</v>
      </c>
      <c r="G1468" s="6">
        <v>683</v>
      </c>
    </row>
    <row r="1469" s="2" customFormat="true" ht="22.5" customHeight="true" spans="1:7">
      <c r="A1469" s="6">
        <f>1467</f>
        <v>1467</v>
      </c>
      <c r="B1469" s="6" t="s">
        <v>1487</v>
      </c>
      <c r="C1469" s="6" t="s">
        <v>9</v>
      </c>
      <c r="D1469" s="6" t="s">
        <v>180</v>
      </c>
      <c r="E1469" s="6" t="s">
        <v>17</v>
      </c>
      <c r="F1469" s="6">
        <v>4</v>
      </c>
      <c r="G1469" s="6">
        <v>2197</v>
      </c>
    </row>
    <row r="1470" s="2" customFormat="true" ht="22.5" customHeight="true" spans="1:7">
      <c r="A1470" s="6">
        <f>1468</f>
        <v>1468</v>
      </c>
      <c r="B1470" s="6" t="s">
        <v>1488</v>
      </c>
      <c r="C1470" s="6" t="s">
        <v>9</v>
      </c>
      <c r="D1470" s="6" t="s">
        <v>16</v>
      </c>
      <c r="E1470" s="6" t="s">
        <v>17</v>
      </c>
      <c r="F1470" s="6">
        <v>5</v>
      </c>
      <c r="G1470" s="6">
        <v>3124</v>
      </c>
    </row>
    <row r="1471" s="2" customFormat="true" ht="22.5" customHeight="true" spans="1:7">
      <c r="A1471" s="6">
        <f>1469</f>
        <v>1469</v>
      </c>
      <c r="B1471" s="6" t="s">
        <v>1489</v>
      </c>
      <c r="C1471" s="6" t="s">
        <v>9</v>
      </c>
      <c r="D1471" s="6" t="s">
        <v>143</v>
      </c>
      <c r="E1471" s="6" t="s">
        <v>11</v>
      </c>
      <c r="F1471" s="6">
        <v>4</v>
      </c>
      <c r="G1471" s="6">
        <v>1971</v>
      </c>
    </row>
    <row r="1472" s="2" customFormat="true" ht="22.5" customHeight="true" spans="1:7">
      <c r="A1472" s="6">
        <f>1470</f>
        <v>1470</v>
      </c>
      <c r="B1472" s="6" t="s">
        <v>1490</v>
      </c>
      <c r="C1472" s="6" t="s">
        <v>15</v>
      </c>
      <c r="D1472" s="6" t="s">
        <v>138</v>
      </c>
      <c r="E1472" s="6" t="s">
        <v>11</v>
      </c>
      <c r="F1472" s="6">
        <v>2</v>
      </c>
      <c r="G1472" s="6">
        <v>1112</v>
      </c>
    </row>
    <row r="1473" s="2" customFormat="true" ht="22.5" customHeight="true" spans="1:7">
      <c r="A1473" s="6">
        <f>1471</f>
        <v>1471</v>
      </c>
      <c r="B1473" s="6" t="s">
        <v>1491</v>
      </c>
      <c r="C1473" s="6" t="s">
        <v>9</v>
      </c>
      <c r="D1473" s="6" t="s">
        <v>230</v>
      </c>
      <c r="E1473" s="6" t="s">
        <v>17</v>
      </c>
      <c r="F1473" s="6">
        <v>1</v>
      </c>
      <c r="G1473" s="6">
        <v>594</v>
      </c>
    </row>
    <row r="1474" s="2" customFormat="true" ht="22.5" customHeight="true" spans="1:7">
      <c r="A1474" s="6">
        <f>1472</f>
        <v>1472</v>
      </c>
      <c r="B1474" s="6" t="s">
        <v>1492</v>
      </c>
      <c r="C1474" s="6" t="s">
        <v>9</v>
      </c>
      <c r="D1474" s="6" t="s">
        <v>239</v>
      </c>
      <c r="E1474" s="6" t="s">
        <v>11</v>
      </c>
      <c r="F1474" s="6">
        <v>5</v>
      </c>
      <c r="G1474" s="6">
        <v>2604</v>
      </c>
    </row>
    <row r="1475" s="2" customFormat="true" ht="22.5" customHeight="true" spans="1:7">
      <c r="A1475" s="6">
        <f>1473</f>
        <v>1473</v>
      </c>
      <c r="B1475" s="6" t="s">
        <v>1493</v>
      </c>
      <c r="C1475" s="6" t="s">
        <v>9</v>
      </c>
      <c r="D1475" s="6" t="s">
        <v>143</v>
      </c>
      <c r="E1475" s="6" t="s">
        <v>11</v>
      </c>
      <c r="F1475" s="6">
        <v>2</v>
      </c>
      <c r="G1475" s="6">
        <v>1242</v>
      </c>
    </row>
    <row r="1476" s="2" customFormat="true" ht="22.5" customHeight="true" spans="1:7">
      <c r="A1476" s="6">
        <f>1474</f>
        <v>1474</v>
      </c>
      <c r="B1476" s="6" t="s">
        <v>1494</v>
      </c>
      <c r="C1476" s="6" t="s">
        <v>9</v>
      </c>
      <c r="D1476" s="6" t="s">
        <v>260</v>
      </c>
      <c r="E1476" s="6" t="s">
        <v>11</v>
      </c>
      <c r="F1476" s="6">
        <v>2</v>
      </c>
      <c r="G1476" s="6">
        <v>1078</v>
      </c>
    </row>
    <row r="1477" s="2" customFormat="true" ht="22.5" customHeight="true" spans="1:7">
      <c r="A1477" s="6">
        <f>1475</f>
        <v>1475</v>
      </c>
      <c r="B1477" s="6" t="s">
        <v>1495</v>
      </c>
      <c r="C1477" s="6" t="s">
        <v>15</v>
      </c>
      <c r="D1477" s="6" t="s">
        <v>143</v>
      </c>
      <c r="E1477" s="6" t="s">
        <v>17</v>
      </c>
      <c r="F1477" s="6">
        <v>1</v>
      </c>
      <c r="G1477" s="6">
        <v>615</v>
      </c>
    </row>
    <row r="1478" s="2" customFormat="true" ht="22.5" customHeight="true" spans="1:7">
      <c r="A1478" s="6">
        <f>1476</f>
        <v>1476</v>
      </c>
      <c r="B1478" s="6" t="s">
        <v>1496</v>
      </c>
      <c r="C1478" s="6" t="s">
        <v>15</v>
      </c>
      <c r="D1478" s="6" t="s">
        <v>185</v>
      </c>
      <c r="E1478" s="6" t="s">
        <v>17</v>
      </c>
      <c r="F1478" s="6">
        <v>1</v>
      </c>
      <c r="G1478" s="6">
        <v>594</v>
      </c>
    </row>
    <row r="1479" s="2" customFormat="true" ht="22.5" customHeight="true" spans="1:7">
      <c r="A1479" s="6">
        <f>1477</f>
        <v>1477</v>
      </c>
      <c r="B1479" s="6" t="s">
        <v>1497</v>
      </c>
      <c r="C1479" s="6" t="s">
        <v>9</v>
      </c>
      <c r="D1479" s="6" t="s">
        <v>202</v>
      </c>
      <c r="E1479" s="6" t="s">
        <v>11</v>
      </c>
      <c r="F1479" s="6">
        <v>1</v>
      </c>
      <c r="G1479" s="6">
        <v>622</v>
      </c>
    </row>
    <row r="1480" s="2" customFormat="true" ht="22.5" customHeight="true" spans="1:7">
      <c r="A1480" s="6">
        <f>1478</f>
        <v>1478</v>
      </c>
      <c r="B1480" s="6" t="s">
        <v>1498</v>
      </c>
      <c r="C1480" s="6" t="s">
        <v>15</v>
      </c>
      <c r="D1480" s="6" t="s">
        <v>67</v>
      </c>
      <c r="E1480" s="6" t="s">
        <v>11</v>
      </c>
      <c r="F1480" s="6">
        <v>1</v>
      </c>
      <c r="G1480" s="6">
        <v>519</v>
      </c>
    </row>
    <row r="1481" s="2" customFormat="true" ht="22.5" customHeight="true" spans="1:7">
      <c r="A1481" s="6">
        <f>1479</f>
        <v>1479</v>
      </c>
      <c r="B1481" s="6" t="s">
        <v>1499</v>
      </c>
      <c r="C1481" s="6" t="s">
        <v>15</v>
      </c>
      <c r="D1481" s="6" t="s">
        <v>185</v>
      </c>
      <c r="E1481" s="6" t="s">
        <v>17</v>
      </c>
      <c r="F1481" s="6">
        <v>1</v>
      </c>
      <c r="G1481" s="6">
        <v>690</v>
      </c>
    </row>
    <row r="1482" s="2" customFormat="true" ht="22.5" customHeight="true" spans="1:7">
      <c r="A1482" s="6">
        <f>1480</f>
        <v>1480</v>
      </c>
      <c r="B1482" s="6" t="s">
        <v>1500</v>
      </c>
      <c r="C1482" s="6" t="s">
        <v>15</v>
      </c>
      <c r="D1482" s="6" t="s">
        <v>192</v>
      </c>
      <c r="E1482" s="6" t="s">
        <v>17</v>
      </c>
      <c r="F1482" s="6">
        <v>1</v>
      </c>
      <c r="G1482" s="6">
        <v>644</v>
      </c>
    </row>
    <row r="1483" s="2" customFormat="true" ht="22.5" customHeight="true" spans="1:7">
      <c r="A1483" s="6">
        <f>1481</f>
        <v>1481</v>
      </c>
      <c r="B1483" s="6" t="s">
        <v>1501</v>
      </c>
      <c r="C1483" s="6" t="s">
        <v>9</v>
      </c>
      <c r="D1483" s="6" t="s">
        <v>202</v>
      </c>
      <c r="E1483" s="6" t="s">
        <v>11</v>
      </c>
      <c r="F1483" s="6">
        <v>1</v>
      </c>
      <c r="G1483" s="6">
        <v>602</v>
      </c>
    </row>
    <row r="1484" s="2" customFormat="true" ht="22.5" customHeight="true" spans="1:7">
      <c r="A1484" s="6">
        <f>1482</f>
        <v>1482</v>
      </c>
      <c r="B1484" s="6" t="s">
        <v>1502</v>
      </c>
      <c r="C1484" s="6" t="s">
        <v>9</v>
      </c>
      <c r="D1484" s="6" t="s">
        <v>117</v>
      </c>
      <c r="E1484" s="6" t="s">
        <v>17</v>
      </c>
      <c r="F1484" s="6">
        <v>2</v>
      </c>
      <c r="G1484" s="6">
        <v>1320</v>
      </c>
    </row>
    <row r="1485" s="2" customFormat="true" ht="22.5" customHeight="true" spans="1:7">
      <c r="A1485" s="6">
        <f>1483</f>
        <v>1483</v>
      </c>
      <c r="B1485" s="6" t="s">
        <v>1503</v>
      </c>
      <c r="C1485" s="6" t="s">
        <v>15</v>
      </c>
      <c r="D1485" s="6" t="s">
        <v>169</v>
      </c>
      <c r="E1485" s="6" t="s">
        <v>17</v>
      </c>
      <c r="F1485" s="6">
        <v>1</v>
      </c>
      <c r="G1485" s="6">
        <v>614</v>
      </c>
    </row>
    <row r="1486" s="2" customFormat="true" ht="22.5" customHeight="true" spans="1:7">
      <c r="A1486" s="6">
        <f>1484</f>
        <v>1484</v>
      </c>
      <c r="B1486" s="6" t="s">
        <v>1504</v>
      </c>
      <c r="C1486" s="6" t="s">
        <v>15</v>
      </c>
      <c r="D1486" s="6" t="s">
        <v>117</v>
      </c>
      <c r="E1486" s="6" t="s">
        <v>17</v>
      </c>
      <c r="F1486" s="6">
        <v>1</v>
      </c>
      <c r="G1486" s="6">
        <v>654</v>
      </c>
    </row>
    <row r="1487" s="2" customFormat="true" ht="22.5" customHeight="true" spans="1:7">
      <c r="A1487" s="6">
        <f>1485</f>
        <v>1485</v>
      </c>
      <c r="B1487" s="6" t="s">
        <v>1505</v>
      </c>
      <c r="C1487" s="6" t="s">
        <v>9</v>
      </c>
      <c r="D1487" s="6" t="s">
        <v>169</v>
      </c>
      <c r="E1487" s="6" t="s">
        <v>17</v>
      </c>
      <c r="F1487" s="6">
        <v>2</v>
      </c>
      <c r="G1487" s="6">
        <v>1025</v>
      </c>
    </row>
    <row r="1488" s="2" customFormat="true" ht="22.5" customHeight="true" spans="1:7">
      <c r="A1488" s="6">
        <f>1486</f>
        <v>1486</v>
      </c>
      <c r="B1488" s="6" t="s">
        <v>1506</v>
      </c>
      <c r="C1488" s="6" t="s">
        <v>9</v>
      </c>
      <c r="D1488" s="6" t="s">
        <v>239</v>
      </c>
      <c r="E1488" s="6" t="s">
        <v>17</v>
      </c>
      <c r="F1488" s="6">
        <v>2</v>
      </c>
      <c r="G1488" s="6">
        <v>1085</v>
      </c>
    </row>
    <row r="1489" s="2" customFormat="true" ht="22.5" customHeight="true" spans="1:7">
      <c r="A1489" s="6">
        <f>1487</f>
        <v>1487</v>
      </c>
      <c r="B1489" s="6" t="s">
        <v>1507</v>
      </c>
      <c r="C1489" s="6" t="s">
        <v>9</v>
      </c>
      <c r="D1489" s="6" t="s">
        <v>16</v>
      </c>
      <c r="E1489" s="6" t="s">
        <v>17</v>
      </c>
      <c r="F1489" s="6">
        <v>3</v>
      </c>
      <c r="G1489" s="6">
        <v>1935</v>
      </c>
    </row>
    <row r="1490" s="2" customFormat="true" ht="22.5" customHeight="true" spans="1:7">
      <c r="A1490" s="6">
        <f>1488</f>
        <v>1488</v>
      </c>
      <c r="B1490" s="6" t="s">
        <v>1508</v>
      </c>
      <c r="C1490" s="6" t="s">
        <v>15</v>
      </c>
      <c r="D1490" s="6" t="s">
        <v>131</v>
      </c>
      <c r="E1490" s="6" t="s">
        <v>17</v>
      </c>
      <c r="F1490" s="6">
        <v>1</v>
      </c>
      <c r="G1490" s="6">
        <v>614</v>
      </c>
    </row>
    <row r="1491" s="2" customFormat="true" ht="22.5" customHeight="true" spans="1:7">
      <c r="A1491" s="6">
        <f>1489</f>
        <v>1489</v>
      </c>
      <c r="B1491" s="6" t="s">
        <v>1509</v>
      </c>
      <c r="C1491" s="6" t="s">
        <v>9</v>
      </c>
      <c r="D1491" s="6" t="s">
        <v>16</v>
      </c>
      <c r="E1491" s="6" t="s">
        <v>17</v>
      </c>
      <c r="F1491" s="6">
        <v>1</v>
      </c>
      <c r="G1491" s="6">
        <v>664</v>
      </c>
    </row>
    <row r="1492" s="2" customFormat="true" ht="22.5" customHeight="true" spans="1:7">
      <c r="A1492" s="6">
        <f>1490</f>
        <v>1490</v>
      </c>
      <c r="B1492" s="6" t="s">
        <v>1510</v>
      </c>
      <c r="C1492" s="6" t="s">
        <v>9</v>
      </c>
      <c r="D1492" s="6" t="s">
        <v>16</v>
      </c>
      <c r="E1492" s="6" t="s">
        <v>11</v>
      </c>
      <c r="F1492" s="6">
        <v>1</v>
      </c>
      <c r="G1492" s="6">
        <v>579</v>
      </c>
    </row>
    <row r="1493" s="2" customFormat="true" ht="22.5" customHeight="true" spans="1:7">
      <c r="A1493" s="6">
        <f>1491</f>
        <v>1491</v>
      </c>
      <c r="B1493" s="6" t="s">
        <v>1511</v>
      </c>
      <c r="C1493" s="6" t="s">
        <v>9</v>
      </c>
      <c r="D1493" s="6" t="s">
        <v>169</v>
      </c>
      <c r="E1493" s="6" t="s">
        <v>79</v>
      </c>
      <c r="F1493" s="6">
        <v>1</v>
      </c>
      <c r="G1493" s="6">
        <v>471</v>
      </c>
    </row>
    <row r="1494" s="2" customFormat="true" ht="22.5" customHeight="true" spans="1:7">
      <c r="A1494" s="6">
        <f>1492</f>
        <v>1492</v>
      </c>
      <c r="B1494" s="6" t="s">
        <v>1512</v>
      </c>
      <c r="C1494" s="6" t="s">
        <v>15</v>
      </c>
      <c r="D1494" s="6" t="s">
        <v>16</v>
      </c>
      <c r="E1494" s="6" t="s">
        <v>17</v>
      </c>
      <c r="F1494" s="6">
        <v>1</v>
      </c>
      <c r="G1494" s="6">
        <v>690</v>
      </c>
    </row>
    <row r="1495" s="2" customFormat="true" ht="22.5" customHeight="true" spans="1:7">
      <c r="A1495" s="6">
        <f>1493</f>
        <v>1493</v>
      </c>
      <c r="B1495" s="6" t="s">
        <v>1513</v>
      </c>
      <c r="C1495" s="6" t="s">
        <v>9</v>
      </c>
      <c r="D1495" s="6" t="s">
        <v>133</v>
      </c>
      <c r="E1495" s="6" t="s">
        <v>17</v>
      </c>
      <c r="F1495" s="6">
        <v>1</v>
      </c>
      <c r="G1495" s="6">
        <v>614</v>
      </c>
    </row>
    <row r="1496" s="2" customFormat="true" ht="22.5" customHeight="true" spans="1:7">
      <c r="A1496" s="6">
        <f>1494</f>
        <v>1494</v>
      </c>
      <c r="B1496" s="6" t="s">
        <v>1514</v>
      </c>
      <c r="C1496" s="6" t="s">
        <v>15</v>
      </c>
      <c r="D1496" s="6" t="s">
        <v>149</v>
      </c>
      <c r="E1496" s="6" t="s">
        <v>11</v>
      </c>
      <c r="F1496" s="6">
        <v>1</v>
      </c>
      <c r="G1496" s="6">
        <v>596</v>
      </c>
    </row>
    <row r="1497" s="2" customFormat="true" ht="22.5" customHeight="true" spans="1:7">
      <c r="A1497" s="6">
        <f>1495</f>
        <v>1495</v>
      </c>
      <c r="B1497" s="6" t="s">
        <v>1515</v>
      </c>
      <c r="C1497" s="6" t="s">
        <v>9</v>
      </c>
      <c r="D1497" s="6" t="s">
        <v>192</v>
      </c>
      <c r="E1497" s="6" t="s">
        <v>17</v>
      </c>
      <c r="F1497" s="6">
        <v>4</v>
      </c>
      <c r="G1497" s="6">
        <v>2533</v>
      </c>
    </row>
    <row r="1498" s="2" customFormat="true" ht="22.5" customHeight="true" spans="1:7">
      <c r="A1498" s="6">
        <f>1496</f>
        <v>1496</v>
      </c>
      <c r="B1498" s="6" t="s">
        <v>1516</v>
      </c>
      <c r="C1498" s="6" t="s">
        <v>9</v>
      </c>
      <c r="D1498" s="6" t="s">
        <v>167</v>
      </c>
      <c r="E1498" s="6" t="s">
        <v>11</v>
      </c>
      <c r="F1498" s="6">
        <v>1</v>
      </c>
      <c r="G1498" s="6">
        <v>596</v>
      </c>
    </row>
    <row r="1499" s="2" customFormat="true" ht="22.5" customHeight="true" spans="1:7">
      <c r="A1499" s="6">
        <f>1497</f>
        <v>1497</v>
      </c>
      <c r="B1499" s="6" t="s">
        <v>1517</v>
      </c>
      <c r="C1499" s="6" t="s">
        <v>15</v>
      </c>
      <c r="D1499" s="6" t="s">
        <v>16</v>
      </c>
      <c r="E1499" s="6" t="s">
        <v>17</v>
      </c>
      <c r="F1499" s="6">
        <v>1</v>
      </c>
      <c r="G1499" s="6">
        <v>664</v>
      </c>
    </row>
    <row r="1500" s="2" customFormat="true" ht="22.5" customHeight="true" spans="1:7">
      <c r="A1500" s="6">
        <f>1498</f>
        <v>1498</v>
      </c>
      <c r="B1500" s="6" t="s">
        <v>1518</v>
      </c>
      <c r="C1500" s="6" t="s">
        <v>9</v>
      </c>
      <c r="D1500" s="6" t="s">
        <v>67</v>
      </c>
      <c r="E1500" s="6" t="s">
        <v>17</v>
      </c>
      <c r="F1500" s="6">
        <v>1</v>
      </c>
      <c r="G1500" s="6">
        <v>594</v>
      </c>
    </row>
    <row r="1501" s="2" customFormat="true" ht="22.5" customHeight="true" spans="1:7">
      <c r="A1501" s="6">
        <f>1499</f>
        <v>1499</v>
      </c>
      <c r="B1501" s="6" t="s">
        <v>1519</v>
      </c>
      <c r="C1501" s="6" t="s">
        <v>9</v>
      </c>
      <c r="D1501" s="6" t="s">
        <v>260</v>
      </c>
      <c r="E1501" s="6" t="s">
        <v>79</v>
      </c>
      <c r="F1501" s="6">
        <v>1</v>
      </c>
      <c r="G1501" s="6">
        <v>614</v>
      </c>
    </row>
    <row r="1502" s="2" customFormat="true" ht="22.5" customHeight="true" spans="1:7">
      <c r="A1502" s="6">
        <f>1500</f>
        <v>1500</v>
      </c>
      <c r="B1502" s="6" t="s">
        <v>1520</v>
      </c>
      <c r="C1502" s="6" t="s">
        <v>9</v>
      </c>
      <c r="D1502" s="6" t="s">
        <v>16</v>
      </c>
      <c r="E1502" s="6" t="s">
        <v>17</v>
      </c>
      <c r="F1502" s="6">
        <v>1</v>
      </c>
      <c r="G1502" s="6">
        <v>654</v>
      </c>
    </row>
    <row r="1503" s="2" customFormat="true" ht="22.5" customHeight="true" spans="1:7">
      <c r="A1503" s="6">
        <f>1501</f>
        <v>1501</v>
      </c>
      <c r="B1503" s="6" t="s">
        <v>1521</v>
      </c>
      <c r="C1503" s="6" t="s">
        <v>9</v>
      </c>
      <c r="D1503" s="6" t="s">
        <v>149</v>
      </c>
      <c r="E1503" s="6" t="s">
        <v>17</v>
      </c>
      <c r="F1503" s="6">
        <v>1</v>
      </c>
      <c r="G1503" s="6">
        <v>614</v>
      </c>
    </row>
    <row r="1504" s="2" customFormat="true" ht="22.5" customHeight="true" spans="1:7">
      <c r="A1504" s="6">
        <f>1502</f>
        <v>1502</v>
      </c>
      <c r="B1504" s="6" t="s">
        <v>1522</v>
      </c>
      <c r="C1504" s="6" t="s">
        <v>9</v>
      </c>
      <c r="D1504" s="6" t="s">
        <v>188</v>
      </c>
      <c r="E1504" s="6" t="s">
        <v>17</v>
      </c>
      <c r="F1504" s="6">
        <v>5</v>
      </c>
      <c r="G1504" s="6">
        <v>2488</v>
      </c>
    </row>
    <row r="1505" s="2" customFormat="true" ht="22.5" customHeight="true" spans="1:7">
      <c r="A1505" s="6">
        <f>1503</f>
        <v>1503</v>
      </c>
      <c r="B1505" s="6" t="s">
        <v>1523</v>
      </c>
      <c r="C1505" s="6" t="s">
        <v>15</v>
      </c>
      <c r="D1505" s="6" t="s">
        <v>188</v>
      </c>
      <c r="E1505" s="6" t="s">
        <v>17</v>
      </c>
      <c r="F1505" s="6">
        <v>3</v>
      </c>
      <c r="G1505" s="6">
        <v>1578</v>
      </c>
    </row>
    <row r="1506" s="2" customFormat="true" ht="22.5" customHeight="true" spans="1:7">
      <c r="A1506" s="6">
        <f>1504</f>
        <v>1504</v>
      </c>
      <c r="B1506" s="6" t="s">
        <v>1524</v>
      </c>
      <c r="C1506" s="6" t="s">
        <v>9</v>
      </c>
      <c r="D1506" s="6" t="s">
        <v>16</v>
      </c>
      <c r="E1506" s="6" t="s">
        <v>79</v>
      </c>
      <c r="F1506" s="6">
        <v>2</v>
      </c>
      <c r="G1506" s="6">
        <v>1242</v>
      </c>
    </row>
    <row r="1507" s="2" customFormat="true" ht="22.5" customHeight="true" spans="1:7">
      <c r="A1507" s="6">
        <f>1505</f>
        <v>1505</v>
      </c>
      <c r="B1507" s="6" t="s">
        <v>1525</v>
      </c>
      <c r="C1507" s="6" t="s">
        <v>15</v>
      </c>
      <c r="D1507" s="6" t="s">
        <v>169</v>
      </c>
      <c r="E1507" s="6" t="s">
        <v>11</v>
      </c>
      <c r="F1507" s="6">
        <v>2</v>
      </c>
      <c r="G1507" s="6">
        <v>1395</v>
      </c>
    </row>
    <row r="1508" s="2" customFormat="true" ht="22.5" customHeight="true" spans="1:7">
      <c r="A1508" s="6">
        <f>1506</f>
        <v>1506</v>
      </c>
      <c r="B1508" s="6" t="s">
        <v>1526</v>
      </c>
      <c r="C1508" s="6" t="s">
        <v>15</v>
      </c>
      <c r="D1508" s="6" t="s">
        <v>146</v>
      </c>
      <c r="E1508" s="6" t="s">
        <v>11</v>
      </c>
      <c r="F1508" s="6">
        <v>1</v>
      </c>
      <c r="G1508" s="6">
        <v>776</v>
      </c>
    </row>
    <row r="1509" s="2" customFormat="true" ht="22.5" customHeight="true" spans="1:7">
      <c r="A1509" s="6">
        <f>1507</f>
        <v>1507</v>
      </c>
      <c r="B1509" s="6" t="s">
        <v>1527</v>
      </c>
      <c r="C1509" s="6" t="s">
        <v>15</v>
      </c>
      <c r="D1509" s="6" t="s">
        <v>131</v>
      </c>
      <c r="E1509" s="6" t="s">
        <v>11</v>
      </c>
      <c r="F1509" s="6">
        <v>1</v>
      </c>
      <c r="G1509" s="6">
        <v>619</v>
      </c>
    </row>
    <row r="1510" s="2" customFormat="true" ht="22.5" customHeight="true" spans="1:7">
      <c r="A1510" s="6">
        <f>1508</f>
        <v>1508</v>
      </c>
      <c r="B1510" s="6" t="s">
        <v>1528</v>
      </c>
      <c r="C1510" s="6" t="s">
        <v>15</v>
      </c>
      <c r="D1510" s="6" t="s">
        <v>239</v>
      </c>
      <c r="E1510" s="6" t="s">
        <v>79</v>
      </c>
      <c r="F1510" s="6">
        <v>1</v>
      </c>
      <c r="G1510" s="6">
        <v>651</v>
      </c>
    </row>
    <row r="1511" s="2" customFormat="true" ht="22.5" customHeight="true" spans="1:7">
      <c r="A1511" s="6">
        <f>1509</f>
        <v>1509</v>
      </c>
      <c r="B1511" s="6" t="s">
        <v>581</v>
      </c>
      <c r="C1511" s="6" t="s">
        <v>9</v>
      </c>
      <c r="D1511" s="6" t="s">
        <v>188</v>
      </c>
      <c r="E1511" s="6" t="s">
        <v>17</v>
      </c>
      <c r="F1511" s="6">
        <v>2</v>
      </c>
      <c r="G1511" s="6">
        <v>1463</v>
      </c>
    </row>
    <row r="1512" s="2" customFormat="true" ht="22.5" customHeight="true" spans="1:7">
      <c r="A1512" s="6">
        <f>1510</f>
        <v>1510</v>
      </c>
      <c r="B1512" s="6" t="s">
        <v>1529</v>
      </c>
      <c r="C1512" s="6" t="s">
        <v>9</v>
      </c>
      <c r="D1512" s="6" t="s">
        <v>222</v>
      </c>
      <c r="E1512" s="6" t="s">
        <v>17</v>
      </c>
      <c r="F1512" s="6">
        <v>2</v>
      </c>
      <c r="G1512" s="6">
        <v>1259</v>
      </c>
    </row>
    <row r="1513" s="2" customFormat="true" ht="22.5" customHeight="true" spans="1:7">
      <c r="A1513" s="6">
        <f>1511</f>
        <v>1511</v>
      </c>
      <c r="B1513" s="6" t="s">
        <v>1530</v>
      </c>
      <c r="C1513" s="6" t="s">
        <v>9</v>
      </c>
      <c r="D1513" s="6" t="s">
        <v>180</v>
      </c>
      <c r="E1513" s="6" t="s">
        <v>11</v>
      </c>
      <c r="F1513" s="6">
        <v>2</v>
      </c>
      <c r="G1513" s="6">
        <v>1445</v>
      </c>
    </row>
    <row r="1514" s="2" customFormat="true" ht="22.5" customHeight="true" spans="1:7">
      <c r="A1514" s="6">
        <f>1512</f>
        <v>1512</v>
      </c>
      <c r="B1514" s="6" t="s">
        <v>1531</v>
      </c>
      <c r="C1514" s="6" t="s">
        <v>9</v>
      </c>
      <c r="D1514" s="6" t="s">
        <v>159</v>
      </c>
      <c r="E1514" s="6" t="s">
        <v>17</v>
      </c>
      <c r="F1514" s="6">
        <v>2</v>
      </c>
      <c r="G1514" s="6">
        <v>1463</v>
      </c>
    </row>
    <row r="1515" s="2" customFormat="true" ht="22.5" customHeight="true" spans="1:7">
      <c r="A1515" s="6">
        <f>1513</f>
        <v>1513</v>
      </c>
      <c r="B1515" s="6" t="s">
        <v>1532</v>
      </c>
      <c r="C1515" s="6" t="s">
        <v>9</v>
      </c>
      <c r="D1515" s="6" t="s">
        <v>180</v>
      </c>
      <c r="E1515" s="6" t="s">
        <v>17</v>
      </c>
      <c r="F1515" s="6">
        <v>1</v>
      </c>
      <c r="G1515" s="6">
        <v>744</v>
      </c>
    </row>
    <row r="1516" s="2" customFormat="true" ht="22.5" customHeight="true" spans="1:7">
      <c r="A1516" s="6">
        <f>1514</f>
        <v>1514</v>
      </c>
      <c r="B1516" s="6" t="s">
        <v>1533</v>
      </c>
      <c r="C1516" s="6" t="s">
        <v>15</v>
      </c>
      <c r="D1516" s="6" t="s">
        <v>188</v>
      </c>
      <c r="E1516" s="6" t="s">
        <v>17</v>
      </c>
      <c r="F1516" s="6">
        <v>1</v>
      </c>
      <c r="G1516" s="6">
        <v>794</v>
      </c>
    </row>
    <row r="1517" s="2" customFormat="true" ht="22.5" customHeight="true" spans="1:7">
      <c r="A1517" s="6">
        <f>1515</f>
        <v>1515</v>
      </c>
      <c r="B1517" s="6" t="s">
        <v>1534</v>
      </c>
      <c r="C1517" s="6" t="s">
        <v>9</v>
      </c>
      <c r="D1517" s="6" t="s">
        <v>143</v>
      </c>
      <c r="E1517" s="6" t="s">
        <v>11</v>
      </c>
      <c r="F1517" s="6">
        <v>2</v>
      </c>
      <c r="G1517" s="6">
        <v>1280</v>
      </c>
    </row>
    <row r="1518" s="2" customFormat="true" ht="22.5" customHeight="true" spans="1:7">
      <c r="A1518" s="6">
        <f>1516</f>
        <v>1516</v>
      </c>
      <c r="B1518" s="6" t="s">
        <v>1535</v>
      </c>
      <c r="C1518" s="6" t="s">
        <v>9</v>
      </c>
      <c r="D1518" s="6" t="s">
        <v>149</v>
      </c>
      <c r="E1518" s="6" t="s">
        <v>17</v>
      </c>
      <c r="F1518" s="6">
        <v>1</v>
      </c>
      <c r="G1518" s="6">
        <v>794</v>
      </c>
    </row>
    <row r="1519" s="2" customFormat="true" ht="22.5" customHeight="true" spans="1:7">
      <c r="A1519" s="6">
        <f>1517</f>
        <v>1517</v>
      </c>
      <c r="B1519" s="6" t="s">
        <v>1536</v>
      </c>
      <c r="C1519" s="6" t="s">
        <v>9</v>
      </c>
      <c r="D1519" s="6" t="s">
        <v>131</v>
      </c>
      <c r="E1519" s="6" t="s">
        <v>17</v>
      </c>
      <c r="F1519" s="6">
        <v>1</v>
      </c>
      <c r="G1519" s="6">
        <v>794</v>
      </c>
    </row>
    <row r="1520" s="2" customFormat="true" ht="22.5" customHeight="true" spans="1:7">
      <c r="A1520" s="6">
        <f>1518</f>
        <v>1518</v>
      </c>
      <c r="B1520" s="6" t="s">
        <v>1537</v>
      </c>
      <c r="C1520" s="6" t="s">
        <v>9</v>
      </c>
      <c r="D1520" s="6" t="s">
        <v>416</v>
      </c>
      <c r="E1520" s="6" t="s">
        <v>17</v>
      </c>
      <c r="F1520" s="6">
        <v>3</v>
      </c>
      <c r="G1520" s="6">
        <v>1896</v>
      </c>
    </row>
    <row r="1521" s="2" customFormat="true" ht="22.5" customHeight="true" spans="1:7">
      <c r="A1521" s="6">
        <f>1519</f>
        <v>1519</v>
      </c>
      <c r="B1521" s="6" t="s">
        <v>1538</v>
      </c>
      <c r="C1521" s="6" t="s">
        <v>15</v>
      </c>
      <c r="D1521" s="6" t="s">
        <v>164</v>
      </c>
      <c r="E1521" s="6" t="s">
        <v>79</v>
      </c>
      <c r="F1521" s="6">
        <v>2</v>
      </c>
      <c r="G1521" s="6">
        <v>1588</v>
      </c>
    </row>
    <row r="1522" s="2" customFormat="true" ht="22.5" customHeight="true" spans="1:7">
      <c r="A1522" s="6">
        <f>1520</f>
        <v>1520</v>
      </c>
      <c r="B1522" s="6" t="s">
        <v>1539</v>
      </c>
      <c r="C1522" s="6" t="s">
        <v>15</v>
      </c>
      <c r="D1522" s="6" t="s">
        <v>67</v>
      </c>
      <c r="E1522" s="6" t="s">
        <v>17</v>
      </c>
      <c r="F1522" s="6">
        <v>2</v>
      </c>
      <c r="G1522" s="6">
        <v>1356</v>
      </c>
    </row>
    <row r="1523" s="2" customFormat="true" ht="22.5" customHeight="true" spans="1:7">
      <c r="A1523" s="6">
        <f>1521</f>
        <v>1521</v>
      </c>
      <c r="B1523" s="6" t="s">
        <v>1540</v>
      </c>
      <c r="C1523" s="6" t="s">
        <v>9</v>
      </c>
      <c r="D1523" s="6" t="s">
        <v>27</v>
      </c>
      <c r="E1523" s="6" t="s">
        <v>11</v>
      </c>
      <c r="F1523" s="6">
        <v>1</v>
      </c>
      <c r="G1523" s="6">
        <v>602</v>
      </c>
    </row>
    <row r="1524" s="2" customFormat="true" ht="22.5" customHeight="true" spans="1:7">
      <c r="A1524" s="6">
        <f>1522</f>
        <v>1522</v>
      </c>
      <c r="B1524" s="6" t="s">
        <v>1541</v>
      </c>
      <c r="C1524" s="6" t="s">
        <v>9</v>
      </c>
      <c r="D1524" s="6" t="s">
        <v>27</v>
      </c>
      <c r="E1524" s="6" t="s">
        <v>11</v>
      </c>
      <c r="F1524" s="6">
        <v>1</v>
      </c>
      <c r="G1524" s="6">
        <v>602</v>
      </c>
    </row>
    <row r="1525" s="2" customFormat="true" ht="22.5" customHeight="true" spans="1:7">
      <c r="A1525" s="6">
        <f>1523</f>
        <v>1523</v>
      </c>
      <c r="B1525" s="6" t="s">
        <v>1542</v>
      </c>
      <c r="C1525" s="6" t="s">
        <v>9</v>
      </c>
      <c r="D1525" s="6" t="s">
        <v>27</v>
      </c>
      <c r="E1525" s="6" t="s">
        <v>17</v>
      </c>
      <c r="F1525" s="6">
        <v>1</v>
      </c>
      <c r="G1525" s="6">
        <v>748</v>
      </c>
    </row>
    <row r="1526" s="2" customFormat="true" ht="22.5" customHeight="true" spans="1:7">
      <c r="A1526" s="6">
        <f>1524</f>
        <v>1524</v>
      </c>
      <c r="B1526" s="6" t="s">
        <v>1543</v>
      </c>
      <c r="C1526" s="6" t="s">
        <v>9</v>
      </c>
      <c r="D1526" s="6" t="s">
        <v>146</v>
      </c>
      <c r="E1526" s="6" t="s">
        <v>79</v>
      </c>
      <c r="F1526" s="6">
        <v>2</v>
      </c>
      <c r="G1526" s="6">
        <v>902</v>
      </c>
    </row>
    <row r="1527" s="2" customFormat="true" ht="22.5" customHeight="true" spans="1:7">
      <c r="A1527" s="6">
        <f>1525</f>
        <v>1525</v>
      </c>
      <c r="B1527" s="6" t="s">
        <v>1544</v>
      </c>
      <c r="C1527" s="6" t="s">
        <v>15</v>
      </c>
      <c r="D1527" s="6" t="s">
        <v>129</v>
      </c>
      <c r="E1527" s="6" t="s">
        <v>11</v>
      </c>
      <c r="F1527" s="6">
        <v>3</v>
      </c>
      <c r="G1527" s="6">
        <v>1595</v>
      </c>
    </row>
    <row r="1528" s="2" customFormat="true" ht="22.5" customHeight="true" spans="1:7">
      <c r="A1528" s="6">
        <f>1526</f>
        <v>1526</v>
      </c>
      <c r="B1528" s="6" t="s">
        <v>1545</v>
      </c>
      <c r="C1528" s="6" t="s">
        <v>9</v>
      </c>
      <c r="D1528" s="6" t="s">
        <v>180</v>
      </c>
      <c r="E1528" s="6" t="s">
        <v>17</v>
      </c>
      <c r="F1528" s="6">
        <v>3</v>
      </c>
      <c r="G1528" s="6">
        <v>1578</v>
      </c>
    </row>
    <row r="1529" s="2" customFormat="true" ht="22.5" customHeight="true" spans="1:7">
      <c r="A1529" s="6">
        <f>1527</f>
        <v>1527</v>
      </c>
      <c r="B1529" s="6" t="s">
        <v>1546</v>
      </c>
      <c r="C1529" s="6" t="s">
        <v>9</v>
      </c>
      <c r="D1529" s="6" t="s">
        <v>67</v>
      </c>
      <c r="E1529" s="6" t="s">
        <v>11</v>
      </c>
      <c r="F1529" s="6">
        <v>1</v>
      </c>
      <c r="G1529" s="6">
        <v>582</v>
      </c>
    </row>
    <row r="1530" s="2" customFormat="true" ht="22.5" customHeight="true" spans="1:7">
      <c r="A1530" s="6">
        <f>1528</f>
        <v>1528</v>
      </c>
      <c r="B1530" s="6" t="s">
        <v>1547</v>
      </c>
      <c r="C1530" s="6" t="s">
        <v>15</v>
      </c>
      <c r="D1530" s="6" t="s">
        <v>180</v>
      </c>
      <c r="E1530" s="6" t="s">
        <v>79</v>
      </c>
      <c r="F1530" s="6">
        <v>1</v>
      </c>
      <c r="G1530" s="6">
        <v>698</v>
      </c>
    </row>
    <row r="1531" s="2" customFormat="true" ht="22.5" customHeight="true" spans="1:7">
      <c r="A1531" s="6">
        <f>1529</f>
        <v>1529</v>
      </c>
      <c r="B1531" s="6" t="s">
        <v>1548</v>
      </c>
      <c r="C1531" s="6" t="s">
        <v>9</v>
      </c>
      <c r="D1531" s="6" t="s">
        <v>209</v>
      </c>
      <c r="E1531" s="6" t="s">
        <v>11</v>
      </c>
      <c r="F1531" s="6">
        <v>1</v>
      </c>
      <c r="G1531" s="6">
        <v>605</v>
      </c>
    </row>
    <row r="1532" s="2" customFormat="true" ht="22.5" customHeight="true" spans="1:7">
      <c r="A1532" s="6">
        <f>1530</f>
        <v>1530</v>
      </c>
      <c r="B1532" s="6" t="s">
        <v>1549</v>
      </c>
      <c r="C1532" s="6" t="s">
        <v>9</v>
      </c>
      <c r="D1532" s="6" t="s">
        <v>49</v>
      </c>
      <c r="E1532" s="6" t="s">
        <v>11</v>
      </c>
      <c r="F1532" s="6">
        <v>2</v>
      </c>
      <c r="G1532" s="6">
        <v>1264</v>
      </c>
    </row>
    <row r="1533" s="2" customFormat="true" ht="22.5" customHeight="true" spans="1:7">
      <c r="A1533" s="6">
        <f>1531</f>
        <v>1531</v>
      </c>
      <c r="B1533" s="6" t="s">
        <v>1550</v>
      </c>
      <c r="C1533" s="6" t="s">
        <v>15</v>
      </c>
      <c r="D1533" s="6" t="s">
        <v>209</v>
      </c>
      <c r="E1533" s="6" t="s">
        <v>11</v>
      </c>
      <c r="F1533" s="6">
        <v>1</v>
      </c>
      <c r="G1533" s="6">
        <v>622</v>
      </c>
    </row>
    <row r="1534" s="2" customFormat="true" ht="22.5" customHeight="true" spans="1:7">
      <c r="A1534" s="6">
        <f>1532</f>
        <v>1532</v>
      </c>
      <c r="B1534" s="6" t="s">
        <v>1551</v>
      </c>
      <c r="C1534" s="6" t="s">
        <v>9</v>
      </c>
      <c r="D1534" s="6" t="s">
        <v>209</v>
      </c>
      <c r="E1534" s="6" t="s">
        <v>11</v>
      </c>
      <c r="F1534" s="6">
        <v>2</v>
      </c>
      <c r="G1534" s="6">
        <v>1204</v>
      </c>
    </row>
    <row r="1535" s="2" customFormat="true" ht="22.5" customHeight="true" spans="1:7">
      <c r="A1535" s="6">
        <f>1533</f>
        <v>1533</v>
      </c>
      <c r="B1535" s="6" t="s">
        <v>1552</v>
      </c>
      <c r="C1535" s="6" t="s">
        <v>15</v>
      </c>
      <c r="D1535" s="6" t="s">
        <v>117</v>
      </c>
      <c r="E1535" s="6" t="s">
        <v>17</v>
      </c>
      <c r="F1535" s="6">
        <v>1</v>
      </c>
      <c r="G1535" s="6">
        <v>698</v>
      </c>
    </row>
    <row r="1536" s="2" customFormat="true" ht="22.5" customHeight="true" spans="1:7">
      <c r="A1536" s="6">
        <f>1534</f>
        <v>1534</v>
      </c>
      <c r="B1536" s="6" t="s">
        <v>1553</v>
      </c>
      <c r="C1536" s="6" t="s">
        <v>9</v>
      </c>
      <c r="D1536" s="6" t="s">
        <v>209</v>
      </c>
      <c r="E1536" s="6" t="s">
        <v>17</v>
      </c>
      <c r="F1536" s="6">
        <v>2</v>
      </c>
      <c r="G1536" s="6">
        <v>1320</v>
      </c>
    </row>
    <row r="1537" s="2" customFormat="true" ht="22.5" customHeight="true" spans="1:7">
      <c r="A1537" s="6">
        <f>1535</f>
        <v>1535</v>
      </c>
      <c r="B1537" s="6" t="s">
        <v>1554</v>
      </c>
      <c r="C1537" s="6" t="s">
        <v>9</v>
      </c>
      <c r="D1537" s="6" t="s">
        <v>49</v>
      </c>
      <c r="E1537" s="6" t="s">
        <v>17</v>
      </c>
      <c r="F1537" s="6">
        <v>2</v>
      </c>
      <c r="G1537" s="6">
        <v>1320</v>
      </c>
    </row>
    <row r="1538" s="2" customFormat="true" ht="22.5" customHeight="true" spans="1:7">
      <c r="A1538" s="6">
        <f>1536</f>
        <v>1536</v>
      </c>
      <c r="B1538" s="6" t="s">
        <v>1555</v>
      </c>
      <c r="C1538" s="6" t="s">
        <v>9</v>
      </c>
      <c r="D1538" s="6" t="s">
        <v>209</v>
      </c>
      <c r="E1538" s="6" t="s">
        <v>17</v>
      </c>
      <c r="F1538" s="6">
        <v>1</v>
      </c>
      <c r="G1538" s="6">
        <v>698</v>
      </c>
    </row>
    <row r="1539" s="2" customFormat="true" ht="22.5" customHeight="true" spans="1:7">
      <c r="A1539" s="6">
        <f>1537</f>
        <v>1537</v>
      </c>
      <c r="B1539" s="6" t="s">
        <v>1556</v>
      </c>
      <c r="C1539" s="6" t="s">
        <v>15</v>
      </c>
      <c r="D1539" s="6" t="s">
        <v>209</v>
      </c>
      <c r="E1539" s="6" t="s">
        <v>11</v>
      </c>
      <c r="F1539" s="6">
        <v>2</v>
      </c>
      <c r="G1539" s="6">
        <v>1094</v>
      </c>
    </row>
    <row r="1540" s="2" customFormat="true" ht="22.5" customHeight="true" spans="1:7">
      <c r="A1540" s="6">
        <f>1538</f>
        <v>1538</v>
      </c>
      <c r="B1540" s="6" t="s">
        <v>1557</v>
      </c>
      <c r="C1540" s="6" t="s">
        <v>15</v>
      </c>
      <c r="D1540" s="6" t="s">
        <v>230</v>
      </c>
      <c r="E1540" s="6" t="s">
        <v>17</v>
      </c>
      <c r="F1540" s="6">
        <v>1</v>
      </c>
      <c r="G1540" s="6">
        <v>678</v>
      </c>
    </row>
    <row r="1541" s="2" customFormat="true" ht="22.5" customHeight="true" spans="1:7">
      <c r="A1541" s="6">
        <f>1539</f>
        <v>1539</v>
      </c>
      <c r="B1541" s="6" t="s">
        <v>1558</v>
      </c>
      <c r="C1541" s="6" t="s">
        <v>15</v>
      </c>
      <c r="D1541" s="6" t="s">
        <v>49</v>
      </c>
      <c r="E1541" s="6" t="s">
        <v>17</v>
      </c>
      <c r="F1541" s="6">
        <v>1</v>
      </c>
      <c r="G1541" s="6">
        <v>748</v>
      </c>
    </row>
    <row r="1542" s="2" customFormat="true" ht="22.5" customHeight="true" spans="1:7">
      <c r="A1542" s="6">
        <f>1540</f>
        <v>1540</v>
      </c>
      <c r="B1542" s="6" t="s">
        <v>1559</v>
      </c>
      <c r="C1542" s="6" t="s">
        <v>15</v>
      </c>
      <c r="D1542" s="6" t="s">
        <v>209</v>
      </c>
      <c r="E1542" s="6" t="s">
        <v>79</v>
      </c>
      <c r="F1542" s="6">
        <v>1</v>
      </c>
      <c r="G1542" s="6">
        <v>579</v>
      </c>
    </row>
    <row r="1543" s="2" customFormat="true" ht="22.5" customHeight="true" spans="1:7">
      <c r="A1543" s="6">
        <f>1541</f>
        <v>1541</v>
      </c>
      <c r="B1543" s="6" t="s">
        <v>1560</v>
      </c>
      <c r="C1543" s="6" t="s">
        <v>15</v>
      </c>
      <c r="D1543" s="6" t="s">
        <v>49</v>
      </c>
      <c r="E1543" s="6" t="s">
        <v>17</v>
      </c>
      <c r="F1543" s="6">
        <v>1</v>
      </c>
      <c r="G1543" s="6">
        <v>748</v>
      </c>
    </row>
    <row r="1544" s="2" customFormat="true" ht="22.5" customHeight="true" spans="1:7">
      <c r="A1544" s="6">
        <f>1542</f>
        <v>1542</v>
      </c>
      <c r="B1544" s="6" t="s">
        <v>1561</v>
      </c>
      <c r="C1544" s="6" t="s">
        <v>9</v>
      </c>
      <c r="D1544" s="6" t="s">
        <v>230</v>
      </c>
      <c r="E1544" s="6" t="s">
        <v>17</v>
      </c>
      <c r="F1544" s="6">
        <v>1</v>
      </c>
      <c r="G1544" s="6">
        <v>748</v>
      </c>
    </row>
    <row r="1545" s="2" customFormat="true" ht="22.5" customHeight="true" spans="1:7">
      <c r="A1545" s="6">
        <f>1543</f>
        <v>1543</v>
      </c>
      <c r="B1545" s="6" t="s">
        <v>1562</v>
      </c>
      <c r="C1545" s="6" t="s">
        <v>15</v>
      </c>
      <c r="D1545" s="6" t="s">
        <v>133</v>
      </c>
      <c r="E1545" s="6" t="s">
        <v>79</v>
      </c>
      <c r="F1545" s="6">
        <v>4</v>
      </c>
      <c r="G1545" s="6">
        <v>2129</v>
      </c>
    </row>
    <row r="1546" s="2" customFormat="true" ht="22.5" customHeight="true" spans="1:7">
      <c r="A1546" s="6">
        <f>1544</f>
        <v>1544</v>
      </c>
      <c r="B1546" s="6" t="s">
        <v>1563</v>
      </c>
      <c r="C1546" s="6" t="s">
        <v>15</v>
      </c>
      <c r="D1546" s="6" t="s">
        <v>230</v>
      </c>
      <c r="E1546" s="6" t="s">
        <v>79</v>
      </c>
      <c r="F1546" s="6">
        <v>1</v>
      </c>
      <c r="G1546" s="6">
        <v>501</v>
      </c>
    </row>
    <row r="1547" s="2" customFormat="true" ht="22.5" customHeight="true" spans="1:7">
      <c r="A1547" s="6">
        <f>1545</f>
        <v>1545</v>
      </c>
      <c r="B1547" s="6" t="s">
        <v>1564</v>
      </c>
      <c r="C1547" s="6" t="s">
        <v>9</v>
      </c>
      <c r="D1547" s="6" t="s">
        <v>230</v>
      </c>
      <c r="E1547" s="6" t="s">
        <v>17</v>
      </c>
      <c r="F1547" s="6">
        <v>1</v>
      </c>
      <c r="G1547" s="6">
        <v>748</v>
      </c>
    </row>
    <row r="1548" s="2" customFormat="true" ht="22.5" customHeight="true" spans="1:7">
      <c r="A1548" s="6">
        <f>1546</f>
        <v>1546</v>
      </c>
      <c r="B1548" s="6" t="s">
        <v>1565</v>
      </c>
      <c r="C1548" s="6" t="s">
        <v>9</v>
      </c>
      <c r="D1548" s="6" t="s">
        <v>67</v>
      </c>
      <c r="E1548" s="6" t="s">
        <v>11</v>
      </c>
      <c r="F1548" s="6">
        <v>1</v>
      </c>
      <c r="G1548" s="6">
        <v>582</v>
      </c>
    </row>
    <row r="1549" s="2" customFormat="true" ht="22.5" customHeight="true" spans="1:7">
      <c r="A1549" s="6">
        <f>1547</f>
        <v>1547</v>
      </c>
      <c r="B1549" s="6" t="s">
        <v>1566</v>
      </c>
      <c r="C1549" s="6" t="s">
        <v>9</v>
      </c>
      <c r="D1549" s="6" t="s">
        <v>416</v>
      </c>
      <c r="E1549" s="6" t="s">
        <v>11</v>
      </c>
      <c r="F1549" s="6">
        <v>1</v>
      </c>
      <c r="G1549" s="6">
        <v>582</v>
      </c>
    </row>
    <row r="1550" s="2" customFormat="true" ht="22.5" customHeight="true" spans="1:7">
      <c r="A1550" s="6">
        <f>1548</f>
        <v>1548</v>
      </c>
      <c r="B1550" s="6" t="s">
        <v>1567</v>
      </c>
      <c r="C1550" s="6" t="s">
        <v>9</v>
      </c>
      <c r="D1550" s="6" t="s">
        <v>260</v>
      </c>
      <c r="E1550" s="6" t="s">
        <v>11</v>
      </c>
      <c r="F1550" s="6">
        <v>3</v>
      </c>
      <c r="G1550" s="6">
        <v>1578</v>
      </c>
    </row>
    <row r="1551" s="2" customFormat="true" ht="22.5" customHeight="true" spans="1:7">
      <c r="A1551" s="6">
        <f>1549</f>
        <v>1549</v>
      </c>
      <c r="B1551" s="6" t="s">
        <v>1568</v>
      </c>
      <c r="C1551" s="6" t="s">
        <v>15</v>
      </c>
      <c r="D1551" s="6" t="s">
        <v>67</v>
      </c>
      <c r="E1551" s="6" t="s">
        <v>11</v>
      </c>
      <c r="F1551" s="6">
        <v>1</v>
      </c>
      <c r="G1551" s="6">
        <v>602</v>
      </c>
    </row>
    <row r="1552" s="2" customFormat="true" ht="22.5" customHeight="true" spans="1:7">
      <c r="A1552" s="6">
        <f>1550</f>
        <v>1550</v>
      </c>
      <c r="B1552" s="6" t="s">
        <v>1569</v>
      </c>
      <c r="C1552" s="6" t="s">
        <v>15</v>
      </c>
      <c r="D1552" s="6" t="s">
        <v>185</v>
      </c>
      <c r="E1552" s="6" t="s">
        <v>17</v>
      </c>
      <c r="F1552" s="6">
        <v>2</v>
      </c>
      <c r="G1552" s="6">
        <v>1320</v>
      </c>
    </row>
    <row r="1553" s="2" customFormat="true" ht="22.5" customHeight="true" spans="1:7">
      <c r="A1553" s="6">
        <f>1551</f>
        <v>1551</v>
      </c>
      <c r="B1553" s="6" t="s">
        <v>1570</v>
      </c>
      <c r="C1553" s="6" t="s">
        <v>9</v>
      </c>
      <c r="D1553" s="6" t="s">
        <v>416</v>
      </c>
      <c r="E1553" s="6" t="s">
        <v>11</v>
      </c>
      <c r="F1553" s="6">
        <v>3</v>
      </c>
      <c r="G1553" s="6">
        <v>1444</v>
      </c>
    </row>
    <row r="1554" s="2" customFormat="true" ht="22.5" customHeight="true" spans="1:7">
      <c r="A1554" s="6">
        <f>1552</f>
        <v>1552</v>
      </c>
      <c r="B1554" s="6" t="s">
        <v>1571</v>
      </c>
      <c r="C1554" s="6" t="s">
        <v>15</v>
      </c>
      <c r="D1554" s="6" t="s">
        <v>146</v>
      </c>
      <c r="E1554" s="6" t="s">
        <v>17</v>
      </c>
      <c r="F1554" s="6">
        <v>3</v>
      </c>
      <c r="G1554" s="6">
        <v>1731</v>
      </c>
    </row>
    <row r="1555" s="2" customFormat="true" ht="22.5" customHeight="true" spans="1:7">
      <c r="A1555" s="6">
        <f>1553</f>
        <v>1553</v>
      </c>
      <c r="B1555" s="6" t="s">
        <v>1572</v>
      </c>
      <c r="C1555" s="6" t="s">
        <v>15</v>
      </c>
      <c r="D1555" s="6" t="s">
        <v>202</v>
      </c>
      <c r="E1555" s="6" t="s">
        <v>17</v>
      </c>
      <c r="F1555" s="6">
        <v>1</v>
      </c>
      <c r="G1555" s="6">
        <v>698</v>
      </c>
    </row>
    <row r="1556" s="2" customFormat="true" ht="22.5" customHeight="true" spans="1:7">
      <c r="A1556" s="6">
        <f>1554</f>
        <v>1554</v>
      </c>
      <c r="B1556" s="6" t="s">
        <v>1573</v>
      </c>
      <c r="C1556" s="6" t="s">
        <v>15</v>
      </c>
      <c r="D1556" s="6" t="s">
        <v>270</v>
      </c>
      <c r="E1556" s="6" t="s">
        <v>79</v>
      </c>
      <c r="F1556" s="6">
        <v>2</v>
      </c>
      <c r="G1556" s="6">
        <v>1320</v>
      </c>
    </row>
    <row r="1557" s="2" customFormat="true" ht="22.5" customHeight="true" spans="1:7">
      <c r="A1557" s="6">
        <f>1555</f>
        <v>1555</v>
      </c>
      <c r="B1557" s="6" t="s">
        <v>1574</v>
      </c>
      <c r="C1557" s="6" t="s">
        <v>9</v>
      </c>
      <c r="D1557" s="6" t="s">
        <v>138</v>
      </c>
      <c r="E1557" s="6" t="s">
        <v>17</v>
      </c>
      <c r="F1557" s="6">
        <v>1</v>
      </c>
      <c r="G1557" s="6">
        <v>748</v>
      </c>
    </row>
    <row r="1558" s="2" customFormat="true" ht="22.5" customHeight="true" spans="1:7">
      <c r="A1558" s="6">
        <f>1556</f>
        <v>1556</v>
      </c>
      <c r="B1558" s="6" t="s">
        <v>1575</v>
      </c>
      <c r="C1558" s="6" t="s">
        <v>9</v>
      </c>
      <c r="D1558" s="6" t="s">
        <v>192</v>
      </c>
      <c r="E1558" s="6" t="s">
        <v>17</v>
      </c>
      <c r="F1558" s="6">
        <v>3</v>
      </c>
      <c r="G1558" s="6">
        <v>1755</v>
      </c>
    </row>
    <row r="1559" s="2" customFormat="true" ht="22.5" customHeight="true" spans="1:7">
      <c r="A1559" s="6">
        <f>1557</f>
        <v>1557</v>
      </c>
      <c r="B1559" s="6" t="s">
        <v>1576</v>
      </c>
      <c r="C1559" s="6" t="s">
        <v>9</v>
      </c>
      <c r="D1559" s="6" t="s">
        <v>416</v>
      </c>
      <c r="E1559" s="6" t="s">
        <v>17</v>
      </c>
      <c r="F1559" s="6">
        <v>2</v>
      </c>
      <c r="G1559" s="6">
        <v>1089</v>
      </c>
    </row>
    <row r="1560" s="2" customFormat="true" ht="22.5" customHeight="true" spans="1:7">
      <c r="A1560" s="6">
        <f>1558</f>
        <v>1558</v>
      </c>
      <c r="B1560" s="6" t="s">
        <v>1577</v>
      </c>
      <c r="C1560" s="6" t="s">
        <v>9</v>
      </c>
      <c r="D1560" s="6" t="s">
        <v>16</v>
      </c>
      <c r="E1560" s="6" t="s">
        <v>17</v>
      </c>
      <c r="F1560" s="6">
        <v>1</v>
      </c>
      <c r="G1560" s="6">
        <v>748</v>
      </c>
    </row>
    <row r="1561" s="2" customFormat="true" ht="22.5" customHeight="true" spans="1:7">
      <c r="A1561" s="6">
        <f>1559</f>
        <v>1559</v>
      </c>
      <c r="B1561" s="6" t="s">
        <v>1578</v>
      </c>
      <c r="C1561" s="6" t="s">
        <v>9</v>
      </c>
      <c r="D1561" s="6" t="s">
        <v>146</v>
      </c>
      <c r="E1561" s="6" t="s">
        <v>79</v>
      </c>
      <c r="F1561" s="6">
        <v>2</v>
      </c>
      <c r="G1561" s="6">
        <v>902</v>
      </c>
    </row>
    <row r="1562" s="2" customFormat="true" ht="22.5" customHeight="true" spans="1:7">
      <c r="A1562" s="6">
        <f>1560</f>
        <v>1560</v>
      </c>
      <c r="B1562" s="6" t="s">
        <v>1579</v>
      </c>
      <c r="C1562" s="6" t="s">
        <v>9</v>
      </c>
      <c r="D1562" s="6" t="s">
        <v>164</v>
      </c>
      <c r="E1562" s="6" t="s">
        <v>11</v>
      </c>
      <c r="F1562" s="6">
        <v>2</v>
      </c>
      <c r="G1562" s="6">
        <v>1084</v>
      </c>
    </row>
    <row r="1563" s="2" customFormat="true" ht="22.5" customHeight="true" spans="1:7">
      <c r="A1563" s="6">
        <f>1561</f>
        <v>1561</v>
      </c>
      <c r="B1563" s="6" t="s">
        <v>1580</v>
      </c>
      <c r="C1563" s="6" t="s">
        <v>9</v>
      </c>
      <c r="D1563" s="6" t="s">
        <v>167</v>
      </c>
      <c r="E1563" s="6" t="s">
        <v>17</v>
      </c>
      <c r="F1563" s="6">
        <v>3</v>
      </c>
      <c r="G1563" s="6">
        <v>1671</v>
      </c>
    </row>
    <row r="1564" s="2" customFormat="true" ht="22.5" customHeight="true" spans="1:7">
      <c r="A1564" s="6">
        <f>1562</f>
        <v>1562</v>
      </c>
      <c r="B1564" s="6" t="s">
        <v>1581</v>
      </c>
      <c r="C1564" s="6" t="s">
        <v>9</v>
      </c>
      <c r="D1564" s="6" t="s">
        <v>185</v>
      </c>
      <c r="E1564" s="6" t="s">
        <v>17</v>
      </c>
      <c r="F1564" s="6">
        <v>2</v>
      </c>
      <c r="G1564" s="6">
        <v>1304</v>
      </c>
    </row>
    <row r="1565" s="2" customFormat="true" ht="22.5" customHeight="true" spans="1:7">
      <c r="A1565" s="6">
        <f>1563</f>
        <v>1563</v>
      </c>
      <c r="B1565" s="6" t="s">
        <v>1582</v>
      </c>
      <c r="C1565" s="6" t="s">
        <v>15</v>
      </c>
      <c r="D1565" s="6" t="s">
        <v>270</v>
      </c>
      <c r="E1565" s="6" t="s">
        <v>79</v>
      </c>
      <c r="F1565" s="6">
        <v>1</v>
      </c>
      <c r="G1565" s="6">
        <v>431</v>
      </c>
    </row>
    <row r="1566" s="2" customFormat="true" ht="22.5" customHeight="true" spans="1:7">
      <c r="A1566" s="6">
        <f>1564</f>
        <v>1564</v>
      </c>
      <c r="B1566" s="6" t="s">
        <v>1583</v>
      </c>
      <c r="C1566" s="6" t="s">
        <v>9</v>
      </c>
      <c r="D1566" s="6" t="s">
        <v>138</v>
      </c>
      <c r="E1566" s="6" t="s">
        <v>17</v>
      </c>
      <c r="F1566" s="6">
        <v>2</v>
      </c>
      <c r="G1566" s="6">
        <v>1320</v>
      </c>
    </row>
    <row r="1567" s="2" customFormat="true" ht="22.5" customHeight="true" spans="1:7">
      <c r="A1567" s="6">
        <f>1565</f>
        <v>1565</v>
      </c>
      <c r="B1567" s="6" t="s">
        <v>1584</v>
      </c>
      <c r="C1567" s="6" t="s">
        <v>9</v>
      </c>
      <c r="D1567" s="6" t="s">
        <v>164</v>
      </c>
      <c r="E1567" s="6" t="s">
        <v>11</v>
      </c>
      <c r="F1567" s="6">
        <v>4</v>
      </c>
      <c r="G1567" s="6">
        <v>1946</v>
      </c>
    </row>
    <row r="1568" s="2" customFormat="true" ht="22.5" customHeight="true" spans="1:7">
      <c r="A1568" s="6">
        <f>1566</f>
        <v>1566</v>
      </c>
      <c r="B1568" s="6" t="s">
        <v>1585</v>
      </c>
      <c r="C1568" s="6" t="s">
        <v>15</v>
      </c>
      <c r="D1568" s="6" t="s">
        <v>270</v>
      </c>
      <c r="E1568" s="6" t="s">
        <v>17</v>
      </c>
      <c r="F1568" s="6">
        <v>1</v>
      </c>
      <c r="G1568" s="6">
        <v>748</v>
      </c>
    </row>
    <row r="1569" s="2" customFormat="true" ht="22.5" customHeight="true" spans="1:7">
      <c r="A1569" s="6">
        <f>1567</f>
        <v>1567</v>
      </c>
      <c r="B1569" s="6" t="s">
        <v>1586</v>
      </c>
      <c r="C1569" s="6" t="s">
        <v>9</v>
      </c>
      <c r="D1569" s="6" t="s">
        <v>192</v>
      </c>
      <c r="E1569" s="6" t="s">
        <v>17</v>
      </c>
      <c r="F1569" s="6">
        <v>3</v>
      </c>
      <c r="G1569" s="6">
        <v>2070</v>
      </c>
    </row>
    <row r="1570" s="2" customFormat="true" ht="22.5" customHeight="true" spans="1:7">
      <c r="A1570" s="6">
        <f>1568</f>
        <v>1568</v>
      </c>
      <c r="B1570" s="6" t="s">
        <v>1587</v>
      </c>
      <c r="C1570" s="6" t="s">
        <v>9</v>
      </c>
      <c r="D1570" s="6" t="s">
        <v>146</v>
      </c>
      <c r="E1570" s="6" t="s">
        <v>17</v>
      </c>
      <c r="F1570" s="6">
        <v>4</v>
      </c>
      <c r="G1570" s="6">
        <v>2102</v>
      </c>
    </row>
    <row r="1571" s="2" customFormat="true" ht="22.5" customHeight="true" spans="1:7">
      <c r="A1571" s="6">
        <f>1569</f>
        <v>1569</v>
      </c>
      <c r="B1571" s="6" t="s">
        <v>1588</v>
      </c>
      <c r="C1571" s="6" t="s">
        <v>15</v>
      </c>
      <c r="D1571" s="6" t="s">
        <v>180</v>
      </c>
      <c r="E1571" s="6" t="s">
        <v>79</v>
      </c>
      <c r="F1571" s="6">
        <v>1</v>
      </c>
      <c r="G1571" s="6">
        <v>748</v>
      </c>
    </row>
    <row r="1572" s="2" customFormat="true" ht="22.5" customHeight="true" spans="1:7">
      <c r="A1572" s="6">
        <f>1570</f>
        <v>1570</v>
      </c>
      <c r="B1572" s="6" t="s">
        <v>1589</v>
      </c>
      <c r="C1572" s="6" t="s">
        <v>15</v>
      </c>
      <c r="D1572" s="6" t="s">
        <v>230</v>
      </c>
      <c r="E1572" s="6" t="s">
        <v>11</v>
      </c>
      <c r="F1572" s="6">
        <v>1</v>
      </c>
      <c r="G1572" s="6">
        <v>602</v>
      </c>
    </row>
    <row r="1573" s="2" customFormat="true" ht="22.5" customHeight="true" spans="1:7">
      <c r="A1573" s="6">
        <f>1571</f>
        <v>1571</v>
      </c>
      <c r="B1573" s="6" t="s">
        <v>1590</v>
      </c>
      <c r="C1573" s="6" t="s">
        <v>9</v>
      </c>
      <c r="D1573" s="6" t="s">
        <v>239</v>
      </c>
      <c r="E1573" s="6" t="s">
        <v>11</v>
      </c>
      <c r="F1573" s="6">
        <v>1</v>
      </c>
      <c r="G1573" s="6">
        <v>602</v>
      </c>
    </row>
    <row r="1574" s="2" customFormat="true" ht="22.5" customHeight="true" spans="1:7">
      <c r="A1574" s="6">
        <f>1572</f>
        <v>1572</v>
      </c>
      <c r="B1574" s="6" t="s">
        <v>1591</v>
      </c>
      <c r="C1574" s="6" t="s">
        <v>9</v>
      </c>
      <c r="D1574" s="6" t="s">
        <v>133</v>
      </c>
      <c r="E1574" s="6" t="s">
        <v>79</v>
      </c>
      <c r="F1574" s="6">
        <v>2</v>
      </c>
      <c r="G1574" s="6">
        <v>1204</v>
      </c>
    </row>
    <row r="1575" s="2" customFormat="true" ht="22.5" customHeight="true" spans="1:7">
      <c r="A1575" s="6">
        <f>1573</f>
        <v>1573</v>
      </c>
      <c r="B1575" s="6" t="s">
        <v>1592</v>
      </c>
      <c r="C1575" s="6" t="s">
        <v>9</v>
      </c>
      <c r="D1575" s="6" t="s">
        <v>239</v>
      </c>
      <c r="E1575" s="6" t="s">
        <v>17</v>
      </c>
      <c r="F1575" s="6">
        <v>2</v>
      </c>
      <c r="G1575" s="6">
        <v>1124</v>
      </c>
    </row>
    <row r="1576" s="2" customFormat="true" ht="22.5" customHeight="true" spans="1:7">
      <c r="A1576" s="6">
        <f>1574</f>
        <v>1574</v>
      </c>
      <c r="B1576" s="6" t="s">
        <v>1593</v>
      </c>
      <c r="C1576" s="6" t="s">
        <v>15</v>
      </c>
      <c r="D1576" s="6" t="s">
        <v>13</v>
      </c>
      <c r="E1576" s="6" t="s">
        <v>11</v>
      </c>
      <c r="F1576" s="6">
        <v>1</v>
      </c>
      <c r="G1576" s="6">
        <v>582</v>
      </c>
    </row>
    <row r="1577" s="2" customFormat="true" ht="22.5" customHeight="true" spans="1:7">
      <c r="A1577" s="6">
        <f>1575</f>
        <v>1575</v>
      </c>
      <c r="B1577" s="6" t="s">
        <v>1594</v>
      </c>
      <c r="C1577" s="6" t="s">
        <v>9</v>
      </c>
      <c r="D1577" s="6" t="s">
        <v>49</v>
      </c>
      <c r="E1577" s="6" t="s">
        <v>17</v>
      </c>
      <c r="F1577" s="6">
        <v>1</v>
      </c>
      <c r="G1577" s="6">
        <v>706</v>
      </c>
    </row>
    <row r="1578" s="2" customFormat="true" ht="22.5" customHeight="true" spans="1:7">
      <c r="A1578" s="6">
        <f>1576</f>
        <v>1576</v>
      </c>
      <c r="B1578" s="6" t="s">
        <v>178</v>
      </c>
      <c r="C1578" s="6" t="s">
        <v>9</v>
      </c>
      <c r="D1578" s="6" t="s">
        <v>167</v>
      </c>
      <c r="E1578" s="6" t="s">
        <v>17</v>
      </c>
      <c r="F1578" s="6">
        <v>4</v>
      </c>
      <c r="G1578" s="6">
        <v>2022</v>
      </c>
    </row>
    <row r="1579" s="2" customFormat="true" ht="22.5" customHeight="true" spans="1:7">
      <c r="A1579" s="6">
        <f>1577</f>
        <v>1577</v>
      </c>
      <c r="B1579" s="6" t="s">
        <v>1595</v>
      </c>
      <c r="C1579" s="6" t="s">
        <v>15</v>
      </c>
      <c r="D1579" s="6" t="s">
        <v>49</v>
      </c>
      <c r="E1579" s="6" t="s">
        <v>17</v>
      </c>
      <c r="F1579" s="6">
        <v>1</v>
      </c>
      <c r="G1579" s="6">
        <v>748</v>
      </c>
    </row>
    <row r="1580" s="2" customFormat="true" ht="22.5" customHeight="true" spans="1:7">
      <c r="A1580" s="6">
        <f>1578</f>
        <v>1578</v>
      </c>
      <c r="B1580" s="6" t="s">
        <v>1596</v>
      </c>
      <c r="C1580" s="6" t="s">
        <v>15</v>
      </c>
      <c r="D1580" s="6" t="s">
        <v>136</v>
      </c>
      <c r="E1580" s="6" t="s">
        <v>17</v>
      </c>
      <c r="F1580" s="6">
        <v>1</v>
      </c>
      <c r="G1580" s="6">
        <v>748</v>
      </c>
    </row>
    <row r="1581" s="2" customFormat="true" ht="22.5" customHeight="true" spans="1:7">
      <c r="A1581" s="6">
        <f>1579</f>
        <v>1579</v>
      </c>
      <c r="B1581" s="6" t="s">
        <v>1597</v>
      </c>
      <c r="C1581" s="6" t="s">
        <v>9</v>
      </c>
      <c r="D1581" s="6" t="s">
        <v>416</v>
      </c>
      <c r="E1581" s="6" t="s">
        <v>17</v>
      </c>
      <c r="F1581" s="6">
        <v>1</v>
      </c>
      <c r="G1581" s="6">
        <v>748</v>
      </c>
    </row>
    <row r="1582" s="2" customFormat="true" ht="22.5" customHeight="true" spans="1:7">
      <c r="A1582" s="6">
        <f>1580</f>
        <v>1580</v>
      </c>
      <c r="B1582" s="6" t="s">
        <v>1598</v>
      </c>
      <c r="C1582" s="6" t="s">
        <v>15</v>
      </c>
      <c r="D1582" s="6" t="s">
        <v>161</v>
      </c>
      <c r="E1582" s="6" t="s">
        <v>17</v>
      </c>
      <c r="F1582" s="6">
        <v>1</v>
      </c>
      <c r="G1582" s="6">
        <v>431</v>
      </c>
    </row>
    <row r="1583" s="2" customFormat="true" ht="22.5" customHeight="true" spans="1:7">
      <c r="A1583" s="6">
        <f>1581</f>
        <v>1581</v>
      </c>
      <c r="B1583" s="6" t="s">
        <v>1599</v>
      </c>
      <c r="C1583" s="6" t="s">
        <v>9</v>
      </c>
      <c r="D1583" s="6" t="s">
        <v>10</v>
      </c>
      <c r="E1583" s="6" t="s">
        <v>11</v>
      </c>
      <c r="F1583" s="6">
        <v>1</v>
      </c>
      <c r="G1583" s="6">
        <v>582</v>
      </c>
    </row>
    <row r="1584" s="2" customFormat="true" ht="22.5" customHeight="true" spans="1:7">
      <c r="A1584" s="6">
        <f>1582</f>
        <v>1582</v>
      </c>
      <c r="B1584" s="6" t="s">
        <v>1600</v>
      </c>
      <c r="C1584" s="6" t="s">
        <v>9</v>
      </c>
      <c r="D1584" s="6" t="s">
        <v>13</v>
      </c>
      <c r="E1584" s="6" t="s">
        <v>11</v>
      </c>
      <c r="F1584" s="6">
        <v>1</v>
      </c>
      <c r="G1584" s="6">
        <v>622</v>
      </c>
    </row>
    <row r="1585" s="2" customFormat="true" ht="22.5" customHeight="true" spans="1:7">
      <c r="A1585" s="6">
        <f>1583</f>
        <v>1583</v>
      </c>
      <c r="B1585" s="6" t="s">
        <v>1601</v>
      </c>
      <c r="C1585" s="6" t="s">
        <v>15</v>
      </c>
      <c r="D1585" s="6" t="s">
        <v>49</v>
      </c>
      <c r="E1585" s="6" t="s">
        <v>11</v>
      </c>
      <c r="F1585" s="6">
        <v>1</v>
      </c>
      <c r="G1585" s="6">
        <v>582</v>
      </c>
    </row>
    <row r="1586" s="2" customFormat="true" ht="22.5" customHeight="true" spans="1:7">
      <c r="A1586" s="6">
        <f>1584</f>
        <v>1584</v>
      </c>
      <c r="B1586" s="6" t="s">
        <v>1602</v>
      </c>
      <c r="C1586" s="6" t="s">
        <v>9</v>
      </c>
      <c r="D1586" s="6" t="s">
        <v>117</v>
      </c>
      <c r="E1586" s="6" t="s">
        <v>17</v>
      </c>
      <c r="F1586" s="6">
        <v>2</v>
      </c>
      <c r="G1586" s="6">
        <v>1200</v>
      </c>
    </row>
    <row r="1587" s="2" customFormat="true" ht="22.5" customHeight="true" spans="1:7">
      <c r="A1587" s="6">
        <f>1585</f>
        <v>1585</v>
      </c>
      <c r="B1587" s="6" t="s">
        <v>1603</v>
      </c>
      <c r="C1587" s="6" t="s">
        <v>15</v>
      </c>
      <c r="D1587" s="6" t="s">
        <v>19</v>
      </c>
      <c r="E1587" s="6" t="s">
        <v>17</v>
      </c>
      <c r="F1587" s="6">
        <v>4</v>
      </c>
      <c r="G1587" s="6">
        <v>2253</v>
      </c>
    </row>
    <row r="1588" s="2" customFormat="true" ht="22.5" customHeight="true" spans="1:7">
      <c r="A1588" s="6">
        <f>1586</f>
        <v>1586</v>
      </c>
      <c r="B1588" s="6" t="s">
        <v>1604</v>
      </c>
      <c r="C1588" s="6" t="s">
        <v>9</v>
      </c>
      <c r="D1588" s="6" t="s">
        <v>117</v>
      </c>
      <c r="E1588" s="6" t="s">
        <v>17</v>
      </c>
      <c r="F1588" s="6">
        <v>1</v>
      </c>
      <c r="G1588" s="6">
        <v>748</v>
      </c>
    </row>
    <row r="1589" s="2" customFormat="true" ht="22.5" customHeight="true" spans="1:7">
      <c r="A1589" s="6">
        <f>1587</f>
        <v>1587</v>
      </c>
      <c r="B1589" s="6" t="s">
        <v>1605</v>
      </c>
      <c r="C1589" s="6" t="s">
        <v>9</v>
      </c>
      <c r="D1589" s="6" t="s">
        <v>19</v>
      </c>
      <c r="E1589" s="6" t="s">
        <v>17</v>
      </c>
      <c r="F1589" s="6">
        <v>1</v>
      </c>
      <c r="G1589" s="6">
        <v>678</v>
      </c>
    </row>
    <row r="1590" s="2" customFormat="true" ht="22.5" customHeight="true" spans="1:7">
      <c r="A1590" s="6">
        <f>1588</f>
        <v>1588</v>
      </c>
      <c r="B1590" s="6" t="s">
        <v>1606</v>
      </c>
      <c r="C1590" s="6" t="s">
        <v>15</v>
      </c>
      <c r="D1590" s="6" t="s">
        <v>19</v>
      </c>
      <c r="E1590" s="6" t="s">
        <v>17</v>
      </c>
      <c r="F1590" s="6">
        <v>1</v>
      </c>
      <c r="G1590" s="6">
        <v>718</v>
      </c>
    </row>
    <row r="1591" s="2" customFormat="true" ht="22.5" customHeight="true" spans="1:7">
      <c r="A1591" s="6">
        <f>1589</f>
        <v>1589</v>
      </c>
      <c r="B1591" s="6" t="s">
        <v>1607</v>
      </c>
      <c r="C1591" s="6" t="s">
        <v>15</v>
      </c>
      <c r="D1591" s="6" t="s">
        <v>136</v>
      </c>
      <c r="E1591" s="6" t="s">
        <v>11</v>
      </c>
      <c r="F1591" s="6">
        <v>1</v>
      </c>
      <c r="G1591" s="6">
        <v>605</v>
      </c>
    </row>
    <row r="1592" s="2" customFormat="true" ht="22.5" customHeight="true" spans="1:7">
      <c r="A1592" s="6">
        <f>1590</f>
        <v>1590</v>
      </c>
      <c r="B1592" s="6" t="s">
        <v>1608</v>
      </c>
      <c r="C1592" s="6" t="s">
        <v>9</v>
      </c>
      <c r="D1592" s="6" t="s">
        <v>117</v>
      </c>
      <c r="E1592" s="6" t="s">
        <v>17</v>
      </c>
      <c r="F1592" s="6">
        <v>4</v>
      </c>
      <c r="G1592" s="6">
        <v>2173</v>
      </c>
    </row>
    <row r="1593" s="2" customFormat="true" ht="22.5" customHeight="true" spans="1:7">
      <c r="A1593" s="6">
        <f>1591</f>
        <v>1591</v>
      </c>
      <c r="B1593" s="6" t="s">
        <v>1609</v>
      </c>
      <c r="C1593" s="6" t="s">
        <v>9</v>
      </c>
      <c r="D1593" s="6" t="s">
        <v>164</v>
      </c>
      <c r="E1593" s="6" t="s">
        <v>11</v>
      </c>
      <c r="F1593" s="6">
        <v>3</v>
      </c>
      <c r="G1593" s="6">
        <v>1746</v>
      </c>
    </row>
    <row r="1594" s="2" customFormat="true" ht="22.5" customHeight="true" spans="1:7">
      <c r="A1594" s="6">
        <f>1592</f>
        <v>1592</v>
      </c>
      <c r="B1594" s="6" t="s">
        <v>1610</v>
      </c>
      <c r="C1594" s="6" t="s">
        <v>9</v>
      </c>
      <c r="D1594" s="6" t="s">
        <v>16</v>
      </c>
      <c r="E1594" s="6" t="s">
        <v>11</v>
      </c>
      <c r="F1594" s="6">
        <v>1</v>
      </c>
      <c r="G1594" s="6">
        <v>594</v>
      </c>
    </row>
    <row r="1595" s="2" customFormat="true" ht="22.5" customHeight="true" spans="1:7">
      <c r="A1595" s="6">
        <f>1593</f>
        <v>1593</v>
      </c>
      <c r="B1595" s="6" t="s">
        <v>1611</v>
      </c>
      <c r="C1595" s="6" t="s">
        <v>15</v>
      </c>
      <c r="D1595" s="6" t="s">
        <v>13</v>
      </c>
      <c r="E1595" s="6" t="s">
        <v>17</v>
      </c>
      <c r="F1595" s="6">
        <v>1</v>
      </c>
      <c r="G1595" s="6">
        <v>741</v>
      </c>
    </row>
    <row r="1596" s="2" customFormat="true" ht="22.5" customHeight="true" spans="1:7">
      <c r="A1596" s="6">
        <f>1594</f>
        <v>1594</v>
      </c>
      <c r="B1596" s="6" t="s">
        <v>1612</v>
      </c>
      <c r="C1596" s="6" t="s">
        <v>9</v>
      </c>
      <c r="D1596" s="6" t="s">
        <v>143</v>
      </c>
      <c r="E1596" s="6" t="s">
        <v>11</v>
      </c>
      <c r="F1596" s="6">
        <v>1</v>
      </c>
      <c r="G1596" s="6">
        <v>622</v>
      </c>
    </row>
    <row r="1597" s="2" customFormat="true" ht="22.5" customHeight="true" spans="1:7">
      <c r="A1597" s="6">
        <f>1595</f>
        <v>1595</v>
      </c>
      <c r="B1597" s="6" t="s">
        <v>1613</v>
      </c>
      <c r="C1597" s="6" t="s">
        <v>15</v>
      </c>
      <c r="D1597" s="6" t="s">
        <v>202</v>
      </c>
      <c r="E1597" s="6" t="s">
        <v>11</v>
      </c>
      <c r="F1597" s="6">
        <v>3</v>
      </c>
      <c r="G1597" s="6">
        <v>1655</v>
      </c>
    </row>
    <row r="1598" s="2" customFormat="true" ht="22.5" customHeight="true" spans="1:7">
      <c r="A1598" s="6">
        <f>1596</f>
        <v>1596</v>
      </c>
      <c r="B1598" s="6" t="s">
        <v>1614</v>
      </c>
      <c r="C1598" s="6" t="s">
        <v>9</v>
      </c>
      <c r="D1598" s="6" t="s">
        <v>161</v>
      </c>
      <c r="E1598" s="6" t="s">
        <v>17</v>
      </c>
      <c r="F1598" s="6">
        <v>3</v>
      </c>
      <c r="G1598" s="6">
        <v>1460</v>
      </c>
    </row>
    <row r="1599" s="2" customFormat="true" ht="22.5" customHeight="true" spans="1:7">
      <c r="A1599" s="6">
        <f>1597</f>
        <v>1597</v>
      </c>
      <c r="B1599" s="6" t="s">
        <v>298</v>
      </c>
      <c r="C1599" s="6" t="s">
        <v>15</v>
      </c>
      <c r="D1599" s="6" t="s">
        <v>182</v>
      </c>
      <c r="E1599" s="6" t="s">
        <v>11</v>
      </c>
      <c r="F1599" s="6">
        <v>3</v>
      </c>
      <c r="G1599" s="6">
        <v>1655</v>
      </c>
    </row>
    <row r="1600" s="2" customFormat="true" ht="22.5" customHeight="true" spans="1:7">
      <c r="A1600" s="6">
        <f>1598</f>
        <v>1598</v>
      </c>
      <c r="B1600" s="6" t="s">
        <v>1615</v>
      </c>
      <c r="C1600" s="6" t="s">
        <v>15</v>
      </c>
      <c r="D1600" s="6" t="s">
        <v>13</v>
      </c>
      <c r="E1600" s="6" t="s">
        <v>17</v>
      </c>
      <c r="F1600" s="6">
        <v>1</v>
      </c>
      <c r="G1600" s="6">
        <v>706</v>
      </c>
    </row>
    <row r="1601" s="2" customFormat="true" ht="22.5" customHeight="true" spans="1:7">
      <c r="A1601" s="6">
        <f>1599</f>
        <v>1599</v>
      </c>
      <c r="B1601" s="6" t="s">
        <v>1616</v>
      </c>
      <c r="C1601" s="6" t="s">
        <v>9</v>
      </c>
      <c r="D1601" s="6" t="s">
        <v>133</v>
      </c>
      <c r="E1601" s="6" t="s">
        <v>11</v>
      </c>
      <c r="F1601" s="6">
        <v>1</v>
      </c>
      <c r="G1601" s="6">
        <v>602</v>
      </c>
    </row>
    <row r="1602" s="2" customFormat="true" ht="22.5" customHeight="true" spans="1:7">
      <c r="A1602" s="6">
        <f>1600</f>
        <v>1600</v>
      </c>
      <c r="B1602" s="6" t="s">
        <v>1617</v>
      </c>
      <c r="C1602" s="6" t="s">
        <v>9</v>
      </c>
      <c r="D1602" s="6" t="s">
        <v>222</v>
      </c>
      <c r="E1602" s="6" t="s">
        <v>17</v>
      </c>
      <c r="F1602" s="6">
        <v>2</v>
      </c>
      <c r="G1602" s="6">
        <v>1200</v>
      </c>
    </row>
    <row r="1603" s="2" customFormat="true" ht="22.5" customHeight="true" spans="1:7">
      <c r="A1603" s="6">
        <f>1601</f>
        <v>1601</v>
      </c>
      <c r="B1603" s="6" t="s">
        <v>1618</v>
      </c>
      <c r="C1603" s="6" t="s">
        <v>15</v>
      </c>
      <c r="D1603" s="6" t="s">
        <v>185</v>
      </c>
      <c r="E1603" s="6" t="s">
        <v>11</v>
      </c>
      <c r="F1603" s="6">
        <v>1</v>
      </c>
      <c r="G1603" s="6">
        <v>582</v>
      </c>
    </row>
    <row r="1604" s="2" customFormat="true" ht="22.5" customHeight="true" spans="1:7">
      <c r="A1604" s="6">
        <f>1602</f>
        <v>1602</v>
      </c>
      <c r="B1604" s="6" t="s">
        <v>1619</v>
      </c>
      <c r="C1604" s="6" t="s">
        <v>9</v>
      </c>
      <c r="D1604" s="6" t="s">
        <v>133</v>
      </c>
      <c r="E1604" s="6" t="s">
        <v>17</v>
      </c>
      <c r="F1604" s="6">
        <v>1</v>
      </c>
      <c r="G1604" s="6">
        <v>698</v>
      </c>
    </row>
    <row r="1605" s="2" customFormat="true" ht="22.5" customHeight="true" spans="1:7">
      <c r="A1605" s="6">
        <f>1603</f>
        <v>1603</v>
      </c>
      <c r="B1605" s="6" t="s">
        <v>1620</v>
      </c>
      <c r="C1605" s="6" t="s">
        <v>9</v>
      </c>
      <c r="D1605" s="6" t="s">
        <v>146</v>
      </c>
      <c r="E1605" s="6" t="s">
        <v>17</v>
      </c>
      <c r="F1605" s="6">
        <v>1</v>
      </c>
      <c r="G1605" s="6">
        <v>678</v>
      </c>
    </row>
    <row r="1606" s="2" customFormat="true" ht="22.5" customHeight="true" spans="1:7">
      <c r="A1606" s="6">
        <f>1604</f>
        <v>1604</v>
      </c>
      <c r="B1606" s="6" t="s">
        <v>1621</v>
      </c>
      <c r="C1606" s="6" t="s">
        <v>9</v>
      </c>
      <c r="D1606" s="6" t="s">
        <v>416</v>
      </c>
      <c r="E1606" s="6" t="s">
        <v>79</v>
      </c>
      <c r="F1606" s="6">
        <v>1</v>
      </c>
      <c r="G1606" s="6">
        <v>571</v>
      </c>
    </row>
    <row r="1607" s="2" customFormat="true" ht="22.5" customHeight="true" spans="1:7">
      <c r="A1607" s="6">
        <f>1605</f>
        <v>1605</v>
      </c>
      <c r="B1607" s="6" t="s">
        <v>1622</v>
      </c>
      <c r="C1607" s="6" t="s">
        <v>9</v>
      </c>
      <c r="D1607" s="6" t="s">
        <v>164</v>
      </c>
      <c r="E1607" s="6" t="s">
        <v>79</v>
      </c>
      <c r="F1607" s="6">
        <v>1</v>
      </c>
      <c r="G1607" s="6">
        <v>748</v>
      </c>
    </row>
    <row r="1608" s="2" customFormat="true" ht="22.5" customHeight="true" spans="1:7">
      <c r="A1608" s="6">
        <f>1606</f>
        <v>1606</v>
      </c>
      <c r="B1608" s="6" t="s">
        <v>1623</v>
      </c>
      <c r="C1608" s="6" t="s">
        <v>15</v>
      </c>
      <c r="D1608" s="6" t="s">
        <v>182</v>
      </c>
      <c r="E1608" s="6" t="s">
        <v>17</v>
      </c>
      <c r="F1608" s="6">
        <v>1</v>
      </c>
      <c r="G1608" s="6">
        <v>658</v>
      </c>
    </row>
    <row r="1609" s="2" customFormat="true" ht="22.5" customHeight="true" spans="1:7">
      <c r="A1609" s="6">
        <f>1607</f>
        <v>1607</v>
      </c>
      <c r="B1609" s="6" t="s">
        <v>1624</v>
      </c>
      <c r="C1609" s="6" t="s">
        <v>9</v>
      </c>
      <c r="D1609" s="6" t="s">
        <v>192</v>
      </c>
      <c r="E1609" s="6" t="s">
        <v>79</v>
      </c>
      <c r="F1609" s="6">
        <v>2</v>
      </c>
      <c r="G1609" s="6">
        <v>1241</v>
      </c>
    </row>
    <row r="1610" s="2" customFormat="true" ht="22.5" customHeight="true" spans="1:7">
      <c r="A1610" s="6">
        <f>1608</f>
        <v>1608</v>
      </c>
      <c r="B1610" s="6" t="s">
        <v>1625</v>
      </c>
      <c r="C1610" s="6" t="s">
        <v>9</v>
      </c>
      <c r="D1610" s="6" t="s">
        <v>185</v>
      </c>
      <c r="E1610" s="6" t="s">
        <v>17</v>
      </c>
      <c r="F1610" s="6">
        <v>1</v>
      </c>
      <c r="G1610" s="6">
        <v>748</v>
      </c>
    </row>
    <row r="1611" s="2" customFormat="true" ht="22.5" customHeight="true" spans="1:7">
      <c r="A1611" s="6">
        <f>1609</f>
        <v>1609</v>
      </c>
      <c r="B1611" s="6" t="s">
        <v>1626</v>
      </c>
      <c r="C1611" s="6" t="s">
        <v>15</v>
      </c>
      <c r="D1611" s="6" t="s">
        <v>185</v>
      </c>
      <c r="E1611" s="6" t="s">
        <v>17</v>
      </c>
      <c r="F1611" s="6">
        <v>1</v>
      </c>
      <c r="G1611" s="6">
        <v>748</v>
      </c>
    </row>
    <row r="1612" s="2" customFormat="true" ht="22.5" customHeight="true" spans="1:7">
      <c r="A1612" s="6">
        <f>1610</f>
        <v>1610</v>
      </c>
      <c r="B1612" s="6" t="s">
        <v>1627</v>
      </c>
      <c r="C1612" s="6" t="s">
        <v>9</v>
      </c>
      <c r="D1612" s="6" t="s">
        <v>260</v>
      </c>
      <c r="E1612" s="6" t="s">
        <v>17</v>
      </c>
      <c r="F1612" s="6">
        <v>2</v>
      </c>
      <c r="G1612" s="6">
        <v>1320</v>
      </c>
    </row>
    <row r="1613" s="2" customFormat="true" ht="22.5" customHeight="true" spans="1:7">
      <c r="A1613" s="6">
        <f>1611</f>
        <v>1611</v>
      </c>
      <c r="B1613" s="6" t="s">
        <v>1628</v>
      </c>
      <c r="C1613" s="6" t="s">
        <v>9</v>
      </c>
      <c r="D1613" s="6" t="s">
        <v>146</v>
      </c>
      <c r="E1613" s="6" t="s">
        <v>17</v>
      </c>
      <c r="F1613" s="6">
        <v>1</v>
      </c>
      <c r="G1613" s="6">
        <v>698</v>
      </c>
    </row>
    <row r="1614" s="2" customFormat="true" ht="22.5" customHeight="true" spans="1:7">
      <c r="A1614" s="6">
        <f>1612</f>
        <v>1612</v>
      </c>
      <c r="B1614" s="6" t="s">
        <v>1629</v>
      </c>
      <c r="C1614" s="6" t="s">
        <v>9</v>
      </c>
      <c r="D1614" s="6" t="s">
        <v>138</v>
      </c>
      <c r="E1614" s="6" t="s">
        <v>17</v>
      </c>
      <c r="F1614" s="6">
        <v>1</v>
      </c>
      <c r="G1614" s="6">
        <v>748</v>
      </c>
    </row>
    <row r="1615" s="2" customFormat="true" ht="22.5" customHeight="true" spans="1:7">
      <c r="A1615" s="6">
        <f>1613</f>
        <v>1613</v>
      </c>
      <c r="B1615" s="6" t="s">
        <v>1630</v>
      </c>
      <c r="C1615" s="6" t="s">
        <v>9</v>
      </c>
      <c r="D1615" s="6" t="s">
        <v>169</v>
      </c>
      <c r="E1615" s="6" t="s">
        <v>17</v>
      </c>
      <c r="F1615" s="6">
        <v>1</v>
      </c>
      <c r="G1615" s="6">
        <v>748</v>
      </c>
    </row>
    <row r="1616" s="2" customFormat="true" ht="22.5" customHeight="true" spans="1:7">
      <c r="A1616" s="6">
        <f>1614</f>
        <v>1614</v>
      </c>
      <c r="B1616" s="6" t="s">
        <v>1631</v>
      </c>
      <c r="C1616" s="6" t="s">
        <v>15</v>
      </c>
      <c r="D1616" s="6" t="s">
        <v>209</v>
      </c>
      <c r="E1616" s="6" t="s">
        <v>17</v>
      </c>
      <c r="F1616" s="6">
        <v>1</v>
      </c>
      <c r="G1616" s="6">
        <v>960</v>
      </c>
    </row>
    <row r="1617" s="2" customFormat="true" ht="22.5" customHeight="true" spans="1:7">
      <c r="A1617" s="6">
        <f>1615</f>
        <v>1615</v>
      </c>
      <c r="B1617" s="6" t="s">
        <v>1632</v>
      </c>
      <c r="C1617" s="6" t="s">
        <v>15</v>
      </c>
      <c r="D1617" s="6" t="s">
        <v>209</v>
      </c>
      <c r="E1617" s="6" t="s">
        <v>11</v>
      </c>
      <c r="F1617" s="6">
        <v>1</v>
      </c>
      <c r="G1617" s="6">
        <v>622</v>
      </c>
    </row>
    <row r="1618" s="2" customFormat="true" ht="22.5" customHeight="true" spans="1:7">
      <c r="A1618" s="6">
        <f>1616</f>
        <v>1616</v>
      </c>
      <c r="B1618" s="6" t="s">
        <v>1633</v>
      </c>
      <c r="C1618" s="6" t="s">
        <v>15</v>
      </c>
      <c r="D1618" s="6" t="s">
        <v>180</v>
      </c>
      <c r="E1618" s="6" t="s">
        <v>11</v>
      </c>
      <c r="F1618" s="6">
        <v>1</v>
      </c>
      <c r="G1618" s="6">
        <v>562</v>
      </c>
    </row>
    <row r="1619" s="2" customFormat="true" ht="22.5" customHeight="true" spans="1:7">
      <c r="A1619" s="6">
        <f>1617</f>
        <v>1617</v>
      </c>
      <c r="B1619" s="6" t="s">
        <v>1634</v>
      </c>
      <c r="C1619" s="6" t="s">
        <v>15</v>
      </c>
      <c r="D1619" s="6" t="s">
        <v>239</v>
      </c>
      <c r="E1619" s="6" t="s">
        <v>17</v>
      </c>
      <c r="F1619" s="6">
        <v>2</v>
      </c>
      <c r="G1619" s="6">
        <v>1127</v>
      </c>
    </row>
    <row r="1620" s="2" customFormat="true" ht="22.5" customHeight="true" spans="1:7">
      <c r="A1620" s="6">
        <f>1618</f>
        <v>1618</v>
      </c>
      <c r="B1620" s="6" t="s">
        <v>1635</v>
      </c>
      <c r="C1620" s="6" t="s">
        <v>9</v>
      </c>
      <c r="D1620" s="6" t="s">
        <v>122</v>
      </c>
      <c r="E1620" s="6" t="s">
        <v>17</v>
      </c>
      <c r="F1620" s="6">
        <v>1</v>
      </c>
      <c r="G1620" s="6">
        <v>748</v>
      </c>
    </row>
    <row r="1621" s="2" customFormat="true" ht="22.5" customHeight="true" spans="1:7">
      <c r="A1621" s="6">
        <f>1619</f>
        <v>1619</v>
      </c>
      <c r="B1621" s="6" t="s">
        <v>1636</v>
      </c>
      <c r="C1621" s="6" t="s">
        <v>15</v>
      </c>
      <c r="D1621" s="6" t="s">
        <v>117</v>
      </c>
      <c r="E1621" s="6" t="s">
        <v>17</v>
      </c>
      <c r="F1621" s="6">
        <v>1</v>
      </c>
      <c r="G1621" s="6">
        <v>678</v>
      </c>
    </row>
    <row r="1622" s="2" customFormat="true" ht="22.5" customHeight="true" spans="1:7">
      <c r="A1622" s="6">
        <f>1620</f>
        <v>1620</v>
      </c>
      <c r="B1622" s="6" t="s">
        <v>1637</v>
      </c>
      <c r="C1622" s="6" t="s">
        <v>9</v>
      </c>
      <c r="D1622" s="6" t="s">
        <v>35</v>
      </c>
      <c r="E1622" s="6" t="s">
        <v>17</v>
      </c>
      <c r="F1622" s="6">
        <v>1</v>
      </c>
      <c r="G1622" s="6">
        <v>748</v>
      </c>
    </row>
    <row r="1623" s="2" customFormat="true" ht="22.5" customHeight="true" spans="1:7">
      <c r="A1623" s="6">
        <f>1621</f>
        <v>1621</v>
      </c>
      <c r="B1623" s="6" t="s">
        <v>1638</v>
      </c>
      <c r="C1623" s="6" t="s">
        <v>9</v>
      </c>
      <c r="D1623" s="6" t="s">
        <v>67</v>
      </c>
      <c r="E1623" s="6" t="s">
        <v>11</v>
      </c>
      <c r="F1623" s="6">
        <v>2</v>
      </c>
      <c r="G1623" s="6">
        <v>1194</v>
      </c>
    </row>
    <row r="1624" s="2" customFormat="true" ht="22.5" customHeight="true" spans="1:7">
      <c r="A1624" s="6">
        <f>1622</f>
        <v>1622</v>
      </c>
      <c r="B1624" s="6" t="s">
        <v>1639</v>
      </c>
      <c r="C1624" s="6" t="s">
        <v>9</v>
      </c>
      <c r="D1624" s="6" t="s">
        <v>138</v>
      </c>
      <c r="E1624" s="6" t="s">
        <v>17</v>
      </c>
      <c r="F1624" s="6">
        <v>4</v>
      </c>
      <c r="G1624" s="6">
        <v>2261</v>
      </c>
    </row>
    <row r="1625" s="2" customFormat="true" ht="22.5" customHeight="true" spans="1:7">
      <c r="A1625" s="6">
        <f>1623</f>
        <v>1623</v>
      </c>
      <c r="B1625" s="6" t="s">
        <v>1640</v>
      </c>
      <c r="C1625" s="6" t="s">
        <v>9</v>
      </c>
      <c r="D1625" s="6" t="s">
        <v>416</v>
      </c>
      <c r="E1625" s="6" t="s">
        <v>17</v>
      </c>
      <c r="F1625" s="6">
        <v>4</v>
      </c>
      <c r="G1625" s="6">
        <v>2022</v>
      </c>
    </row>
    <row r="1626" s="2" customFormat="true" ht="22.5" customHeight="true" spans="1:7">
      <c r="A1626" s="6">
        <f>1624</f>
        <v>1624</v>
      </c>
      <c r="B1626" s="6" t="s">
        <v>1641</v>
      </c>
      <c r="C1626" s="6" t="s">
        <v>9</v>
      </c>
      <c r="D1626" s="6" t="s">
        <v>13</v>
      </c>
      <c r="E1626" s="6" t="s">
        <v>11</v>
      </c>
      <c r="F1626" s="6">
        <v>1</v>
      </c>
      <c r="G1626" s="6">
        <v>612</v>
      </c>
    </row>
    <row r="1627" s="2" customFormat="true" ht="22.5" customHeight="true" spans="1:7">
      <c r="A1627" s="6">
        <f>1625</f>
        <v>1625</v>
      </c>
      <c r="B1627" s="6" t="s">
        <v>1642</v>
      </c>
      <c r="C1627" s="6" t="s">
        <v>15</v>
      </c>
      <c r="D1627" s="6" t="s">
        <v>209</v>
      </c>
      <c r="E1627" s="6" t="s">
        <v>17</v>
      </c>
      <c r="F1627" s="6">
        <v>2</v>
      </c>
      <c r="G1627" s="6">
        <v>1191</v>
      </c>
    </row>
    <row r="1628" s="2" customFormat="true" ht="22.5" customHeight="true" spans="1:7">
      <c r="A1628" s="6">
        <f>1626</f>
        <v>1626</v>
      </c>
      <c r="B1628" s="6" t="s">
        <v>1643</v>
      </c>
      <c r="C1628" s="6" t="s">
        <v>15</v>
      </c>
      <c r="D1628" s="6" t="s">
        <v>19</v>
      </c>
      <c r="E1628" s="6" t="s">
        <v>17</v>
      </c>
      <c r="F1628" s="6">
        <v>1</v>
      </c>
      <c r="G1628" s="6">
        <v>710</v>
      </c>
    </row>
    <row r="1629" s="2" customFormat="true" ht="22.5" customHeight="true" spans="1:7">
      <c r="A1629" s="6">
        <f>1627</f>
        <v>1627</v>
      </c>
      <c r="B1629" s="6" t="s">
        <v>1644</v>
      </c>
      <c r="C1629" s="6" t="s">
        <v>9</v>
      </c>
      <c r="D1629" s="6" t="s">
        <v>19</v>
      </c>
      <c r="E1629" s="6" t="s">
        <v>17</v>
      </c>
      <c r="F1629" s="6">
        <v>4</v>
      </c>
      <c r="G1629" s="6">
        <v>2301</v>
      </c>
    </row>
    <row r="1630" s="2" customFormat="true" ht="22.5" customHeight="true" spans="1:7">
      <c r="A1630" s="6">
        <f>1628</f>
        <v>1628</v>
      </c>
      <c r="B1630" s="6" t="s">
        <v>1645</v>
      </c>
      <c r="C1630" s="6" t="s">
        <v>9</v>
      </c>
      <c r="D1630" s="6" t="s">
        <v>182</v>
      </c>
      <c r="E1630" s="6" t="s">
        <v>11</v>
      </c>
      <c r="F1630" s="6">
        <v>1</v>
      </c>
      <c r="G1630" s="6">
        <v>594</v>
      </c>
    </row>
    <row r="1631" s="2" customFormat="true" ht="22.5" customHeight="true" spans="1:7">
      <c r="A1631" s="6">
        <f>1629</f>
        <v>1629</v>
      </c>
      <c r="B1631" s="6" t="s">
        <v>1646</v>
      </c>
      <c r="C1631" s="6" t="s">
        <v>9</v>
      </c>
      <c r="D1631" s="6" t="s">
        <v>19</v>
      </c>
      <c r="E1631" s="6" t="s">
        <v>11</v>
      </c>
      <c r="F1631" s="6">
        <v>2</v>
      </c>
      <c r="G1631" s="6">
        <v>1077</v>
      </c>
    </row>
    <row r="1632" s="2" customFormat="true" ht="22.5" customHeight="true" spans="1:7">
      <c r="A1632" s="6">
        <f>1630</f>
        <v>1630</v>
      </c>
      <c r="B1632" s="6" t="s">
        <v>1647</v>
      </c>
      <c r="C1632" s="6" t="s">
        <v>9</v>
      </c>
      <c r="D1632" s="6" t="s">
        <v>416</v>
      </c>
      <c r="E1632" s="6" t="s">
        <v>11</v>
      </c>
      <c r="F1632" s="6">
        <v>2</v>
      </c>
      <c r="G1632" s="6">
        <v>1328</v>
      </c>
    </row>
    <row r="1633" s="2" customFormat="true" ht="22.5" customHeight="true" spans="1:7">
      <c r="A1633" s="6">
        <f>1631</f>
        <v>1631</v>
      </c>
      <c r="B1633" s="6" t="s">
        <v>1648</v>
      </c>
      <c r="C1633" s="6" t="s">
        <v>9</v>
      </c>
      <c r="D1633" s="6" t="s">
        <v>104</v>
      </c>
      <c r="E1633" s="6" t="s">
        <v>11</v>
      </c>
      <c r="F1633" s="6">
        <v>1</v>
      </c>
      <c r="G1633" s="6">
        <v>594</v>
      </c>
    </row>
    <row r="1634" s="2" customFormat="true" ht="22.5" customHeight="true" spans="1:7">
      <c r="A1634" s="6">
        <f>1632</f>
        <v>1632</v>
      </c>
      <c r="B1634" s="6" t="s">
        <v>1649</v>
      </c>
      <c r="C1634" s="6" t="s">
        <v>9</v>
      </c>
      <c r="D1634" s="6" t="s">
        <v>167</v>
      </c>
      <c r="E1634" s="6" t="s">
        <v>17</v>
      </c>
      <c r="F1634" s="6">
        <v>2</v>
      </c>
      <c r="G1634" s="6">
        <v>1027</v>
      </c>
    </row>
    <row r="1635" s="2" customFormat="true" ht="22.5" customHeight="true" spans="1:7">
      <c r="A1635" s="6">
        <f>1633</f>
        <v>1633</v>
      </c>
      <c r="B1635" s="6" t="s">
        <v>1650</v>
      </c>
      <c r="C1635" s="6" t="s">
        <v>9</v>
      </c>
      <c r="D1635" s="6" t="s">
        <v>192</v>
      </c>
      <c r="E1635" s="6" t="s">
        <v>11</v>
      </c>
      <c r="F1635" s="6">
        <v>1</v>
      </c>
      <c r="G1635" s="6">
        <v>594</v>
      </c>
    </row>
    <row r="1636" s="2" customFormat="true" ht="22.5" customHeight="true" spans="1:7">
      <c r="A1636" s="6">
        <f>1634</f>
        <v>1634</v>
      </c>
      <c r="B1636" s="6" t="s">
        <v>1651</v>
      </c>
      <c r="C1636" s="6" t="s">
        <v>15</v>
      </c>
      <c r="D1636" s="6" t="s">
        <v>169</v>
      </c>
      <c r="E1636" s="6" t="s">
        <v>17</v>
      </c>
      <c r="F1636" s="6">
        <v>1</v>
      </c>
      <c r="G1636" s="6">
        <v>690</v>
      </c>
    </row>
    <row r="1637" s="2" customFormat="true" ht="22.5" customHeight="true" spans="1:7">
      <c r="A1637" s="6">
        <f>1635</f>
        <v>1635</v>
      </c>
      <c r="B1637" s="6" t="s">
        <v>1652</v>
      </c>
      <c r="C1637" s="6" t="s">
        <v>15</v>
      </c>
      <c r="D1637" s="6"/>
      <c r="E1637" s="6" t="s">
        <v>17</v>
      </c>
      <c r="F1637" s="6">
        <v>1</v>
      </c>
      <c r="G1637" s="6">
        <v>690</v>
      </c>
    </row>
    <row r="1638" s="2" customFormat="true" ht="22.5" customHeight="true" spans="1:7">
      <c r="A1638" s="6">
        <f>1636</f>
        <v>1636</v>
      </c>
      <c r="B1638" s="6" t="s">
        <v>1653</v>
      </c>
      <c r="C1638" s="6" t="s">
        <v>9</v>
      </c>
      <c r="D1638" s="6" t="s">
        <v>104</v>
      </c>
      <c r="E1638" s="6" t="s">
        <v>17</v>
      </c>
      <c r="F1638" s="6">
        <v>1</v>
      </c>
      <c r="G1638" s="6">
        <v>690</v>
      </c>
    </row>
    <row r="1639" s="2" customFormat="true" ht="22.5" customHeight="true" spans="1:7">
      <c r="A1639" s="6">
        <f>1637</f>
        <v>1637</v>
      </c>
      <c r="B1639" s="6" t="s">
        <v>1654</v>
      </c>
      <c r="C1639" s="6" t="s">
        <v>9</v>
      </c>
      <c r="D1639" s="6" t="s">
        <v>104</v>
      </c>
      <c r="E1639" s="6" t="s">
        <v>17</v>
      </c>
      <c r="F1639" s="6">
        <v>2</v>
      </c>
      <c r="G1639" s="6">
        <v>1304</v>
      </c>
    </row>
    <row r="1640" s="2" customFormat="true" ht="22.5" customHeight="true" spans="1:7">
      <c r="A1640" s="6">
        <f>1638</f>
        <v>1638</v>
      </c>
      <c r="B1640" s="6" t="s">
        <v>1655</v>
      </c>
      <c r="C1640" s="6" t="s">
        <v>9</v>
      </c>
      <c r="D1640" s="6" t="s">
        <v>164</v>
      </c>
      <c r="E1640" s="6" t="s">
        <v>17</v>
      </c>
      <c r="F1640" s="6">
        <v>2</v>
      </c>
      <c r="G1640" s="6">
        <v>1204</v>
      </c>
    </row>
    <row r="1641" s="2" customFormat="true" ht="22.5" customHeight="true" spans="1:7">
      <c r="A1641" s="6">
        <f>1639</f>
        <v>1639</v>
      </c>
      <c r="B1641" s="6" t="s">
        <v>1656</v>
      </c>
      <c r="C1641" s="6" t="s">
        <v>9</v>
      </c>
      <c r="D1641" s="6" t="s">
        <v>104</v>
      </c>
      <c r="E1641" s="6" t="s">
        <v>11</v>
      </c>
      <c r="F1641" s="6">
        <v>2</v>
      </c>
      <c r="G1641" s="6">
        <v>1037</v>
      </c>
    </row>
    <row r="1642" s="2" customFormat="true" ht="22.5" customHeight="true" spans="1:7">
      <c r="A1642" s="6">
        <f>1640</f>
        <v>1640</v>
      </c>
      <c r="B1642" s="6" t="s">
        <v>1657</v>
      </c>
      <c r="C1642" s="6" t="s">
        <v>9</v>
      </c>
      <c r="D1642" s="6" t="s">
        <v>117</v>
      </c>
      <c r="E1642" s="6" t="s">
        <v>17</v>
      </c>
      <c r="F1642" s="6">
        <v>3</v>
      </c>
      <c r="G1642" s="6">
        <v>1918</v>
      </c>
    </row>
    <row r="1643" s="2" customFormat="true" ht="22.5" customHeight="true" spans="1:7">
      <c r="A1643" s="6">
        <f>1641</f>
        <v>1641</v>
      </c>
      <c r="B1643" s="6" t="s">
        <v>1658</v>
      </c>
      <c r="C1643" s="6" t="s">
        <v>9</v>
      </c>
      <c r="D1643" s="6"/>
      <c r="E1643" s="6" t="s">
        <v>11</v>
      </c>
      <c r="F1643" s="6">
        <v>4</v>
      </c>
      <c r="G1643" s="6">
        <v>2181</v>
      </c>
    </row>
    <row r="1644" s="2" customFormat="true" ht="22.5" customHeight="true" spans="1:7">
      <c r="A1644" s="6">
        <f>1642</f>
        <v>1642</v>
      </c>
      <c r="B1644" s="6" t="s">
        <v>1659</v>
      </c>
      <c r="C1644" s="6" t="s">
        <v>15</v>
      </c>
      <c r="D1644" s="6" t="s">
        <v>188</v>
      </c>
      <c r="E1644" s="6" t="s">
        <v>11</v>
      </c>
      <c r="F1644" s="6">
        <v>3</v>
      </c>
      <c r="G1644" s="6">
        <v>1541</v>
      </c>
    </row>
    <row r="1645" s="2" customFormat="true" ht="22.5" customHeight="true" spans="1:7">
      <c r="A1645" s="6">
        <f>1643</f>
        <v>1643</v>
      </c>
      <c r="B1645" s="6" t="s">
        <v>1660</v>
      </c>
      <c r="C1645" s="6" t="s">
        <v>9</v>
      </c>
      <c r="D1645" s="6"/>
      <c r="E1645" s="6" t="s">
        <v>11</v>
      </c>
      <c r="F1645" s="6">
        <v>2</v>
      </c>
      <c r="G1645" s="6">
        <v>977</v>
      </c>
    </row>
    <row r="1646" s="2" customFormat="true" ht="22.5" customHeight="true" spans="1:7">
      <c r="A1646" s="6">
        <f>1644</f>
        <v>1644</v>
      </c>
      <c r="B1646" s="6" t="s">
        <v>1661</v>
      </c>
      <c r="C1646" s="6" t="s">
        <v>9</v>
      </c>
      <c r="D1646" s="6" t="s">
        <v>192</v>
      </c>
      <c r="E1646" s="6" t="s">
        <v>11</v>
      </c>
      <c r="F1646" s="6">
        <v>2</v>
      </c>
      <c r="G1646" s="6">
        <v>1037</v>
      </c>
    </row>
    <row r="1647" s="2" customFormat="true" ht="22.5" customHeight="true" spans="1:7">
      <c r="A1647" s="6">
        <f>1645</f>
        <v>1645</v>
      </c>
      <c r="B1647" s="6" t="s">
        <v>1662</v>
      </c>
      <c r="C1647" s="6" t="s">
        <v>9</v>
      </c>
      <c r="D1647" s="6" t="s">
        <v>21</v>
      </c>
      <c r="E1647" s="6" t="s">
        <v>11</v>
      </c>
      <c r="F1647" s="6">
        <v>1</v>
      </c>
      <c r="G1647" s="6">
        <v>594</v>
      </c>
    </row>
    <row r="1648" s="2" customFormat="true" ht="22.5" customHeight="true" spans="1:7">
      <c r="A1648" s="6">
        <f>1646</f>
        <v>1646</v>
      </c>
      <c r="B1648" s="6" t="s">
        <v>1663</v>
      </c>
      <c r="C1648" s="6" t="s">
        <v>15</v>
      </c>
      <c r="D1648" s="6" t="s">
        <v>35</v>
      </c>
      <c r="E1648" s="6" t="s">
        <v>11</v>
      </c>
      <c r="F1648" s="6">
        <v>1</v>
      </c>
      <c r="G1648" s="6">
        <v>596</v>
      </c>
    </row>
    <row r="1649" s="2" customFormat="true" ht="22.5" customHeight="true" spans="1:7">
      <c r="A1649" s="6">
        <f>1647</f>
        <v>1647</v>
      </c>
      <c r="B1649" s="6" t="s">
        <v>1664</v>
      </c>
      <c r="C1649" s="6" t="s">
        <v>9</v>
      </c>
      <c r="D1649" s="6" t="s">
        <v>21</v>
      </c>
      <c r="E1649" s="6" t="s">
        <v>11</v>
      </c>
      <c r="F1649" s="6">
        <v>1</v>
      </c>
      <c r="G1649" s="6">
        <v>594</v>
      </c>
    </row>
    <row r="1650" s="2" customFormat="true" ht="22.5" customHeight="true" spans="1:7">
      <c r="A1650" s="6">
        <f>1648</f>
        <v>1648</v>
      </c>
      <c r="B1650" s="6" t="s">
        <v>1665</v>
      </c>
      <c r="C1650" s="6" t="s">
        <v>9</v>
      </c>
      <c r="D1650" s="6" t="s">
        <v>124</v>
      </c>
      <c r="E1650" s="6" t="s">
        <v>17</v>
      </c>
      <c r="F1650" s="6">
        <v>3</v>
      </c>
      <c r="G1650" s="6">
        <v>1994</v>
      </c>
    </row>
    <row r="1651" s="2" customFormat="true" ht="22.5" customHeight="true" spans="1:7">
      <c r="A1651" s="6">
        <f>1649</f>
        <v>1649</v>
      </c>
      <c r="B1651" s="6" t="s">
        <v>1666</v>
      </c>
      <c r="C1651" s="6" t="s">
        <v>9</v>
      </c>
      <c r="D1651" s="6" t="s">
        <v>149</v>
      </c>
      <c r="E1651" s="6" t="s">
        <v>11</v>
      </c>
      <c r="F1651" s="6">
        <v>1</v>
      </c>
      <c r="G1651" s="6">
        <v>664</v>
      </c>
    </row>
    <row r="1652" s="2" customFormat="true" ht="22.5" customHeight="true" spans="1:7">
      <c r="A1652" s="6">
        <f>1650</f>
        <v>1650</v>
      </c>
      <c r="B1652" s="6" t="s">
        <v>1667</v>
      </c>
      <c r="C1652" s="6" t="s">
        <v>15</v>
      </c>
      <c r="D1652" s="6" t="s">
        <v>185</v>
      </c>
      <c r="E1652" s="6" t="s">
        <v>11</v>
      </c>
      <c r="F1652" s="6">
        <v>1</v>
      </c>
      <c r="G1652" s="6">
        <v>594</v>
      </c>
    </row>
    <row r="1653" s="2" customFormat="true" ht="22.5" customHeight="true" spans="1:7">
      <c r="A1653" s="6">
        <f>1651</f>
        <v>1651</v>
      </c>
      <c r="B1653" s="6" t="s">
        <v>1668</v>
      </c>
      <c r="C1653" s="6" t="s">
        <v>15</v>
      </c>
      <c r="D1653" s="6" t="s">
        <v>185</v>
      </c>
      <c r="E1653" s="6" t="s">
        <v>11</v>
      </c>
      <c r="F1653" s="6">
        <v>1</v>
      </c>
      <c r="G1653" s="6">
        <v>594</v>
      </c>
    </row>
    <row r="1654" s="2" customFormat="true" ht="22.5" customHeight="true" spans="1:7">
      <c r="A1654" s="6">
        <f>1652</f>
        <v>1652</v>
      </c>
      <c r="B1654" s="6" t="s">
        <v>1669</v>
      </c>
      <c r="C1654" s="6" t="s">
        <v>9</v>
      </c>
      <c r="D1654" s="6" t="s">
        <v>169</v>
      </c>
      <c r="E1654" s="6" t="s">
        <v>11</v>
      </c>
      <c r="F1654" s="6">
        <v>2</v>
      </c>
      <c r="G1654" s="6">
        <v>1228</v>
      </c>
    </row>
    <row r="1655" s="2" customFormat="true" ht="22.5" customHeight="true" spans="1:7">
      <c r="A1655" s="6">
        <f>1653</f>
        <v>1653</v>
      </c>
      <c r="B1655" s="6" t="s">
        <v>1670</v>
      </c>
      <c r="C1655" s="6" t="s">
        <v>9</v>
      </c>
      <c r="D1655" s="6" t="s">
        <v>192</v>
      </c>
      <c r="E1655" s="6" t="s">
        <v>11</v>
      </c>
      <c r="F1655" s="6">
        <v>1</v>
      </c>
      <c r="G1655" s="6">
        <v>594</v>
      </c>
    </row>
    <row r="1656" s="2" customFormat="true" ht="22.5" customHeight="true" spans="1:7">
      <c r="A1656" s="6">
        <f>1654</f>
        <v>1654</v>
      </c>
      <c r="B1656" s="6" t="s">
        <v>1671</v>
      </c>
      <c r="C1656" s="6" t="s">
        <v>9</v>
      </c>
      <c r="D1656" s="6" t="s">
        <v>270</v>
      </c>
      <c r="E1656" s="6" t="s">
        <v>17</v>
      </c>
      <c r="F1656" s="6">
        <v>2</v>
      </c>
      <c r="G1656" s="6">
        <v>1304</v>
      </c>
    </row>
    <row r="1657" s="2" customFormat="true" ht="22.5" customHeight="true" spans="1:7">
      <c r="A1657" s="6">
        <f>1655</f>
        <v>1655</v>
      </c>
      <c r="B1657" s="6" t="s">
        <v>1672</v>
      </c>
      <c r="C1657" s="6" t="s">
        <v>9</v>
      </c>
      <c r="D1657" s="6" t="s">
        <v>192</v>
      </c>
      <c r="E1657" s="6" t="s">
        <v>11</v>
      </c>
      <c r="F1657" s="6">
        <v>1</v>
      </c>
      <c r="G1657" s="6">
        <v>594</v>
      </c>
    </row>
    <row r="1658" s="2" customFormat="true" ht="22.5" customHeight="true" spans="1:7">
      <c r="A1658" s="6">
        <f>1656</f>
        <v>1656</v>
      </c>
      <c r="B1658" s="6" t="s">
        <v>1673</v>
      </c>
      <c r="C1658" s="6" t="s">
        <v>9</v>
      </c>
      <c r="D1658" s="6" t="s">
        <v>159</v>
      </c>
      <c r="E1658" s="6" t="s">
        <v>17</v>
      </c>
      <c r="F1658" s="6">
        <v>1</v>
      </c>
      <c r="G1658" s="6">
        <v>740</v>
      </c>
    </row>
    <row r="1659" s="2" customFormat="true" ht="22.5" customHeight="true" spans="1:7">
      <c r="A1659" s="6">
        <f>1657</f>
        <v>1657</v>
      </c>
      <c r="B1659" s="6" t="s">
        <v>1674</v>
      </c>
      <c r="C1659" s="6" t="s">
        <v>9</v>
      </c>
      <c r="D1659" s="6" t="s">
        <v>182</v>
      </c>
      <c r="E1659" s="6" t="s">
        <v>11</v>
      </c>
      <c r="F1659" s="6">
        <v>1</v>
      </c>
      <c r="G1659" s="6">
        <v>594</v>
      </c>
    </row>
    <row r="1660" s="2" customFormat="true" ht="22.5" customHeight="true" spans="1:7">
      <c r="A1660" s="6">
        <f>1658</f>
        <v>1658</v>
      </c>
      <c r="B1660" s="6" t="s">
        <v>1675</v>
      </c>
      <c r="C1660" s="6" t="s">
        <v>9</v>
      </c>
      <c r="D1660" s="6"/>
      <c r="E1660" s="6" t="s">
        <v>17</v>
      </c>
      <c r="F1660" s="6">
        <v>3</v>
      </c>
      <c r="G1660" s="6">
        <v>1768</v>
      </c>
    </row>
    <row r="1661" s="2" customFormat="true" ht="22.5" customHeight="true" spans="1:7">
      <c r="A1661" s="6">
        <f>1659</f>
        <v>1659</v>
      </c>
      <c r="B1661" s="6" t="s">
        <v>1676</v>
      </c>
      <c r="C1661" s="6" t="s">
        <v>9</v>
      </c>
      <c r="D1661" s="6" t="s">
        <v>192</v>
      </c>
      <c r="E1661" s="6" t="s">
        <v>17</v>
      </c>
      <c r="F1661" s="6">
        <v>1</v>
      </c>
      <c r="G1661" s="6">
        <v>690</v>
      </c>
    </row>
    <row r="1662" s="2" customFormat="true" ht="22.5" customHeight="true" spans="1:7">
      <c r="A1662" s="6">
        <f>1660</f>
        <v>1660</v>
      </c>
      <c r="B1662" s="6" t="s">
        <v>1677</v>
      </c>
      <c r="C1662" s="6" t="s">
        <v>9</v>
      </c>
      <c r="D1662" s="6" t="s">
        <v>16</v>
      </c>
      <c r="E1662" s="6" t="s">
        <v>11</v>
      </c>
      <c r="F1662" s="6">
        <v>1</v>
      </c>
      <c r="G1662" s="6">
        <v>594</v>
      </c>
    </row>
    <row r="1663" s="2" customFormat="true" ht="22.5" customHeight="true" spans="1:7">
      <c r="A1663" s="6">
        <f>1661</f>
        <v>1661</v>
      </c>
      <c r="B1663" s="6" t="s">
        <v>1678</v>
      </c>
      <c r="C1663" s="6" t="s">
        <v>9</v>
      </c>
      <c r="D1663" s="6" t="s">
        <v>185</v>
      </c>
      <c r="E1663" s="6" t="s">
        <v>11</v>
      </c>
      <c r="F1663" s="6">
        <v>1</v>
      </c>
      <c r="G1663" s="6">
        <v>594</v>
      </c>
    </row>
    <row r="1664" s="2" customFormat="true" ht="22.5" customHeight="true" spans="1:7">
      <c r="A1664" s="6">
        <f>1662</f>
        <v>1662</v>
      </c>
      <c r="B1664" s="6" t="s">
        <v>1679</v>
      </c>
      <c r="C1664" s="6" t="s">
        <v>9</v>
      </c>
      <c r="D1664" s="6" t="s">
        <v>146</v>
      </c>
      <c r="E1664" s="6" t="s">
        <v>17</v>
      </c>
      <c r="F1664" s="6">
        <v>1</v>
      </c>
      <c r="G1664" s="6">
        <v>664</v>
      </c>
    </row>
    <row r="1665" s="2" customFormat="true" ht="22.5" customHeight="true" spans="1:7">
      <c r="A1665" s="6">
        <f>1663</f>
        <v>1663</v>
      </c>
      <c r="B1665" s="6" t="s">
        <v>1680</v>
      </c>
      <c r="C1665" s="6" t="s">
        <v>9</v>
      </c>
      <c r="D1665" s="6" t="s">
        <v>16</v>
      </c>
      <c r="E1665" s="6" t="s">
        <v>17</v>
      </c>
      <c r="F1665" s="6">
        <v>2</v>
      </c>
      <c r="G1665" s="6">
        <v>1153</v>
      </c>
    </row>
    <row r="1666" s="2" customFormat="true" ht="22.5" customHeight="true" spans="1:7">
      <c r="A1666" s="6">
        <f>1664</f>
        <v>1664</v>
      </c>
      <c r="B1666" s="6" t="s">
        <v>1681</v>
      </c>
      <c r="C1666" s="6" t="s">
        <v>15</v>
      </c>
      <c r="D1666" s="6" t="s">
        <v>129</v>
      </c>
      <c r="E1666" s="6" t="s">
        <v>17</v>
      </c>
      <c r="F1666" s="6">
        <v>1</v>
      </c>
      <c r="G1666" s="6">
        <v>720</v>
      </c>
    </row>
    <row r="1667" s="2" customFormat="true" ht="22.5" customHeight="true" spans="1:7">
      <c r="A1667" s="6">
        <f>1665</f>
        <v>1665</v>
      </c>
      <c r="B1667" s="6" t="s">
        <v>1682</v>
      </c>
      <c r="C1667" s="6" t="s">
        <v>15</v>
      </c>
      <c r="D1667" s="6" t="s">
        <v>143</v>
      </c>
      <c r="E1667" s="6" t="s">
        <v>17</v>
      </c>
      <c r="F1667" s="6">
        <v>3</v>
      </c>
      <c r="G1667" s="6">
        <v>1767</v>
      </c>
    </row>
    <row r="1668" s="2" customFormat="true" ht="22.5" customHeight="true" spans="1:7">
      <c r="A1668" s="6">
        <f>1666</f>
        <v>1666</v>
      </c>
      <c r="B1668" s="6" t="s">
        <v>1683</v>
      </c>
      <c r="C1668" s="6" t="s">
        <v>15</v>
      </c>
      <c r="D1668" s="6" t="s">
        <v>169</v>
      </c>
      <c r="E1668" s="6" t="s">
        <v>17</v>
      </c>
      <c r="F1668" s="6">
        <v>2</v>
      </c>
      <c r="G1668" s="6">
        <v>1227</v>
      </c>
    </row>
    <row r="1669" s="2" customFormat="true" ht="22.5" customHeight="true" spans="1:7">
      <c r="A1669" s="6">
        <f>1667</f>
        <v>1667</v>
      </c>
      <c r="B1669" s="6" t="s">
        <v>1684</v>
      </c>
      <c r="C1669" s="6" t="s">
        <v>9</v>
      </c>
      <c r="D1669" s="6" t="s">
        <v>16</v>
      </c>
      <c r="E1669" s="6" t="s">
        <v>17</v>
      </c>
      <c r="F1669" s="6">
        <v>1</v>
      </c>
      <c r="G1669" s="6">
        <v>690</v>
      </c>
    </row>
    <row r="1670" s="2" customFormat="true" ht="22.5" customHeight="true" spans="1:7">
      <c r="A1670" s="6">
        <f>1668</f>
        <v>1668</v>
      </c>
      <c r="B1670" s="6" t="s">
        <v>1685</v>
      </c>
      <c r="C1670" s="6" t="s">
        <v>9</v>
      </c>
      <c r="D1670" s="6" t="s">
        <v>416</v>
      </c>
      <c r="E1670" s="6" t="s">
        <v>17</v>
      </c>
      <c r="F1670" s="6">
        <v>4</v>
      </c>
      <c r="G1670" s="6">
        <v>2030</v>
      </c>
    </row>
    <row r="1671" s="2" customFormat="true" ht="22.5" customHeight="true" spans="1:7">
      <c r="A1671" s="6">
        <f>1669</f>
        <v>1669</v>
      </c>
      <c r="B1671" s="6" t="s">
        <v>1686</v>
      </c>
      <c r="C1671" s="6" t="s">
        <v>15</v>
      </c>
      <c r="D1671" s="6" t="s">
        <v>122</v>
      </c>
      <c r="E1671" s="6" t="s">
        <v>11</v>
      </c>
      <c r="F1671" s="6">
        <v>1</v>
      </c>
      <c r="G1671" s="6">
        <v>614</v>
      </c>
    </row>
    <row r="1672" s="2" customFormat="true" ht="22.5" customHeight="true" spans="1:7">
      <c r="A1672" s="6">
        <f>1670</f>
        <v>1670</v>
      </c>
      <c r="B1672" s="6" t="s">
        <v>1687</v>
      </c>
      <c r="C1672" s="6" t="s">
        <v>9</v>
      </c>
      <c r="D1672" s="6" t="s">
        <v>280</v>
      </c>
      <c r="E1672" s="6" t="s">
        <v>11</v>
      </c>
      <c r="F1672" s="6">
        <v>1</v>
      </c>
      <c r="G1672" s="6">
        <v>614</v>
      </c>
    </row>
    <row r="1673" s="2" customFormat="true" ht="22.5" customHeight="true" spans="1:7">
      <c r="A1673" s="6">
        <f>1671</f>
        <v>1671</v>
      </c>
      <c r="B1673" s="6" t="s">
        <v>1688</v>
      </c>
      <c r="C1673" s="6" t="s">
        <v>15</v>
      </c>
      <c r="D1673" s="6" t="s">
        <v>209</v>
      </c>
      <c r="E1673" s="6" t="s">
        <v>11</v>
      </c>
      <c r="F1673" s="6">
        <v>1</v>
      </c>
      <c r="G1673" s="6">
        <v>584</v>
      </c>
    </row>
    <row r="1674" s="2" customFormat="true" ht="22.5" customHeight="true" spans="1:7">
      <c r="A1674" s="6">
        <f>1672</f>
        <v>1672</v>
      </c>
      <c r="B1674" s="6" t="s">
        <v>1689</v>
      </c>
      <c r="C1674" s="6" t="s">
        <v>15</v>
      </c>
      <c r="D1674" s="6" t="s">
        <v>124</v>
      </c>
      <c r="E1674" s="6" t="s">
        <v>17</v>
      </c>
      <c r="F1674" s="6">
        <v>1</v>
      </c>
      <c r="G1674" s="6">
        <v>740</v>
      </c>
    </row>
    <row r="1675" s="2" customFormat="true" ht="22.5" customHeight="true" spans="1:7">
      <c r="A1675" s="6">
        <f>1673</f>
        <v>1673</v>
      </c>
      <c r="B1675" s="6" t="s">
        <v>1690</v>
      </c>
      <c r="C1675" s="6" t="s">
        <v>15</v>
      </c>
      <c r="D1675" s="6" t="s">
        <v>133</v>
      </c>
      <c r="E1675" s="6" t="s">
        <v>11</v>
      </c>
      <c r="F1675" s="6">
        <v>3</v>
      </c>
      <c r="G1675" s="6">
        <v>1842</v>
      </c>
    </row>
    <row r="1676" s="2" customFormat="true" ht="22.5" customHeight="true" spans="1:7">
      <c r="A1676" s="6">
        <f>1674</f>
        <v>1674</v>
      </c>
      <c r="B1676" s="6" t="s">
        <v>1691</v>
      </c>
      <c r="C1676" s="6" t="s">
        <v>9</v>
      </c>
      <c r="D1676" s="6" t="s">
        <v>280</v>
      </c>
      <c r="E1676" s="6" t="s">
        <v>11</v>
      </c>
      <c r="F1676" s="6">
        <v>1</v>
      </c>
      <c r="G1676" s="6">
        <v>614</v>
      </c>
    </row>
    <row r="1677" s="2" customFormat="true" ht="22.5" customHeight="true" spans="1:7">
      <c r="A1677" s="6">
        <f>1675</f>
        <v>1675</v>
      </c>
      <c r="B1677" s="6" t="s">
        <v>1692</v>
      </c>
      <c r="C1677" s="6" t="s">
        <v>15</v>
      </c>
      <c r="D1677" s="6" t="s">
        <v>169</v>
      </c>
      <c r="E1677" s="6" t="s">
        <v>17</v>
      </c>
      <c r="F1677" s="6">
        <v>1</v>
      </c>
      <c r="G1677" s="6">
        <v>740</v>
      </c>
    </row>
    <row r="1678" s="2" customFormat="true" ht="22.5" customHeight="true" spans="1:7">
      <c r="A1678" s="6">
        <f>1676</f>
        <v>1676</v>
      </c>
      <c r="B1678" s="6" t="s">
        <v>1693</v>
      </c>
      <c r="C1678" s="6" t="s">
        <v>15</v>
      </c>
      <c r="D1678" s="6" t="s">
        <v>416</v>
      </c>
      <c r="E1678" s="6" t="s">
        <v>17</v>
      </c>
      <c r="F1678" s="6">
        <v>1</v>
      </c>
      <c r="G1678" s="6">
        <v>740</v>
      </c>
    </row>
    <row r="1679" s="2" customFormat="true" ht="22.5" customHeight="true" spans="1:7">
      <c r="A1679" s="6">
        <f>1677</f>
        <v>1677</v>
      </c>
      <c r="B1679" s="6" t="s">
        <v>1694</v>
      </c>
      <c r="C1679" s="6" t="s">
        <v>9</v>
      </c>
      <c r="D1679" s="6" t="s">
        <v>129</v>
      </c>
      <c r="E1679" s="6" t="s">
        <v>17</v>
      </c>
      <c r="F1679" s="6">
        <v>1</v>
      </c>
      <c r="G1679" s="6">
        <v>740</v>
      </c>
    </row>
    <row r="1680" s="2" customFormat="true" ht="22.5" customHeight="true" spans="1:7">
      <c r="A1680" s="6">
        <f>1678</f>
        <v>1678</v>
      </c>
      <c r="B1680" s="6" t="s">
        <v>1695</v>
      </c>
      <c r="C1680" s="6" t="s">
        <v>9</v>
      </c>
      <c r="D1680" s="6" t="s">
        <v>117</v>
      </c>
      <c r="E1680" s="6" t="s">
        <v>17</v>
      </c>
      <c r="F1680" s="6">
        <v>1</v>
      </c>
      <c r="G1680" s="6">
        <v>670</v>
      </c>
    </row>
    <row r="1681" s="2" customFormat="true" ht="22.5" customHeight="true" spans="1:7">
      <c r="A1681" s="6">
        <f>1679</f>
        <v>1679</v>
      </c>
      <c r="B1681" s="6" t="s">
        <v>1696</v>
      </c>
      <c r="C1681" s="6" t="s">
        <v>15</v>
      </c>
      <c r="D1681" s="6" t="s">
        <v>19</v>
      </c>
      <c r="E1681" s="6" t="s">
        <v>17</v>
      </c>
      <c r="F1681" s="6">
        <v>1</v>
      </c>
      <c r="G1681" s="6">
        <v>706</v>
      </c>
    </row>
    <row r="1682" s="2" customFormat="true" ht="22.5" customHeight="true" spans="1:7">
      <c r="A1682" s="6">
        <f>1680</f>
        <v>1680</v>
      </c>
      <c r="B1682" s="6" t="s">
        <v>1697</v>
      </c>
      <c r="C1682" s="6" t="s">
        <v>15</v>
      </c>
      <c r="D1682" s="6" t="s">
        <v>19</v>
      </c>
      <c r="E1682" s="6" t="s">
        <v>11</v>
      </c>
      <c r="F1682" s="6">
        <v>1</v>
      </c>
      <c r="G1682" s="6">
        <v>579</v>
      </c>
    </row>
    <row r="1683" s="2" customFormat="true" ht="22.5" customHeight="true" spans="1:7">
      <c r="A1683" s="6">
        <f>1681</f>
        <v>1681</v>
      </c>
      <c r="B1683" s="6" t="s">
        <v>1698</v>
      </c>
      <c r="C1683" s="6" t="s">
        <v>9</v>
      </c>
      <c r="D1683" s="6" t="s">
        <v>27</v>
      </c>
      <c r="E1683" s="6" t="s">
        <v>17</v>
      </c>
      <c r="F1683" s="6">
        <v>1</v>
      </c>
      <c r="G1683" s="6">
        <v>690</v>
      </c>
    </row>
    <row r="1684" s="2" customFormat="true" ht="22.5" customHeight="true" spans="1:7">
      <c r="A1684" s="6">
        <f>1682</f>
        <v>1682</v>
      </c>
      <c r="B1684" s="6" t="s">
        <v>1699</v>
      </c>
      <c r="C1684" s="6" t="s">
        <v>15</v>
      </c>
      <c r="D1684" s="6" t="s">
        <v>19</v>
      </c>
      <c r="E1684" s="6" t="s">
        <v>17</v>
      </c>
      <c r="F1684" s="6">
        <v>4</v>
      </c>
      <c r="G1684" s="6">
        <v>2341</v>
      </c>
    </row>
    <row r="1685" s="2" customFormat="true" ht="22.5" customHeight="true" spans="1:7">
      <c r="A1685" s="6">
        <f>1683</f>
        <v>1683</v>
      </c>
      <c r="B1685" s="6" t="s">
        <v>1700</v>
      </c>
      <c r="C1685" s="6" t="s">
        <v>9</v>
      </c>
      <c r="D1685" s="6" t="s">
        <v>202</v>
      </c>
      <c r="E1685" s="6" t="s">
        <v>17</v>
      </c>
      <c r="F1685" s="6">
        <v>1</v>
      </c>
      <c r="G1685" s="6">
        <v>700</v>
      </c>
    </row>
    <row r="1686" s="2" customFormat="true" ht="22.5" customHeight="true" spans="1:7">
      <c r="A1686" s="6">
        <f>1684</f>
        <v>1684</v>
      </c>
      <c r="B1686" s="6" t="s">
        <v>1701</v>
      </c>
      <c r="C1686" s="6" t="s">
        <v>15</v>
      </c>
      <c r="D1686" s="6" t="s">
        <v>49</v>
      </c>
      <c r="E1686" s="6" t="s">
        <v>17</v>
      </c>
      <c r="F1686" s="6">
        <v>1</v>
      </c>
      <c r="G1686" s="6">
        <v>730</v>
      </c>
    </row>
    <row r="1687" s="2" customFormat="true" ht="22.5" customHeight="true" spans="1:7">
      <c r="A1687" s="6">
        <f>1685</f>
        <v>1685</v>
      </c>
      <c r="B1687" s="6" t="s">
        <v>1702</v>
      </c>
      <c r="C1687" s="6" t="s">
        <v>9</v>
      </c>
      <c r="D1687" s="6" t="s">
        <v>124</v>
      </c>
      <c r="E1687" s="6" t="s">
        <v>17</v>
      </c>
      <c r="F1687" s="6">
        <v>3</v>
      </c>
      <c r="G1687" s="6">
        <v>2048</v>
      </c>
    </row>
    <row r="1688" s="2" customFormat="true" ht="22.5" customHeight="true" spans="1:7">
      <c r="A1688" s="6">
        <f>1686</f>
        <v>1686</v>
      </c>
      <c r="B1688" s="6" t="s">
        <v>1703</v>
      </c>
      <c r="C1688" s="6" t="s">
        <v>9</v>
      </c>
      <c r="D1688" s="6" t="s">
        <v>122</v>
      </c>
      <c r="E1688" s="6" t="s">
        <v>17</v>
      </c>
      <c r="F1688" s="6">
        <v>2</v>
      </c>
      <c r="G1688" s="6">
        <v>1304</v>
      </c>
    </row>
    <row r="1689" s="2" customFormat="true" ht="22.5" customHeight="true" spans="1:7">
      <c r="A1689" s="6">
        <f>1687</f>
        <v>1687</v>
      </c>
      <c r="B1689" s="6" t="s">
        <v>1704</v>
      </c>
      <c r="C1689" s="6" t="s">
        <v>9</v>
      </c>
      <c r="D1689" s="6" t="s">
        <v>131</v>
      </c>
      <c r="E1689" s="6" t="s">
        <v>17</v>
      </c>
      <c r="F1689" s="6">
        <v>2</v>
      </c>
      <c r="G1689" s="6">
        <v>1324</v>
      </c>
    </row>
    <row r="1690" s="2" customFormat="true" ht="22.5" customHeight="true" spans="1:7">
      <c r="A1690" s="6">
        <f>1688</f>
        <v>1688</v>
      </c>
      <c r="B1690" s="6" t="s">
        <v>1705</v>
      </c>
      <c r="C1690" s="6" t="s">
        <v>9</v>
      </c>
      <c r="D1690" s="6" t="s">
        <v>13</v>
      </c>
      <c r="E1690" s="6" t="s">
        <v>17</v>
      </c>
      <c r="F1690" s="6">
        <v>1</v>
      </c>
      <c r="G1690" s="6">
        <v>650</v>
      </c>
    </row>
    <row r="1691" s="2" customFormat="true" ht="22.5" customHeight="true" spans="1:7">
      <c r="A1691" s="6">
        <f>1689</f>
        <v>1689</v>
      </c>
      <c r="B1691" s="6" t="s">
        <v>1706</v>
      </c>
      <c r="C1691" s="6" t="s">
        <v>15</v>
      </c>
      <c r="D1691" s="6" t="s">
        <v>202</v>
      </c>
      <c r="E1691" s="6" t="s">
        <v>79</v>
      </c>
      <c r="F1691" s="6">
        <v>3</v>
      </c>
      <c r="G1691" s="6">
        <v>1333</v>
      </c>
    </row>
    <row r="1692" s="2" customFormat="true" ht="22.5" customHeight="true" spans="1:7">
      <c r="A1692" s="6">
        <f>1690</f>
        <v>1690</v>
      </c>
      <c r="B1692" s="6" t="s">
        <v>1707</v>
      </c>
      <c r="C1692" s="6" t="s">
        <v>9</v>
      </c>
      <c r="D1692" s="6" t="s">
        <v>122</v>
      </c>
      <c r="E1692" s="6" t="s">
        <v>17</v>
      </c>
      <c r="F1692" s="6">
        <v>2</v>
      </c>
      <c r="G1692" s="6">
        <v>1253</v>
      </c>
    </row>
    <row r="1693" s="2" customFormat="true" ht="22.5" customHeight="true" spans="1:7">
      <c r="A1693" s="6">
        <f>1691</f>
        <v>1691</v>
      </c>
      <c r="B1693" s="6" t="s">
        <v>1708</v>
      </c>
      <c r="C1693" s="6" t="s">
        <v>9</v>
      </c>
      <c r="D1693" s="6" t="s">
        <v>138</v>
      </c>
      <c r="E1693" s="6" t="s">
        <v>17</v>
      </c>
      <c r="F1693" s="6">
        <v>1</v>
      </c>
      <c r="G1693" s="6">
        <v>666</v>
      </c>
    </row>
    <row r="1694" s="2" customFormat="true" ht="22.5" customHeight="true" spans="1:7">
      <c r="A1694" s="6">
        <f>1692</f>
        <v>1692</v>
      </c>
      <c r="B1694" s="6" t="s">
        <v>1709</v>
      </c>
      <c r="C1694" s="6" t="s">
        <v>9</v>
      </c>
      <c r="D1694" s="6" t="s">
        <v>192</v>
      </c>
      <c r="E1694" s="6" t="s">
        <v>17</v>
      </c>
      <c r="F1694" s="6">
        <v>2</v>
      </c>
      <c r="G1694" s="6">
        <v>1103</v>
      </c>
    </row>
    <row r="1695" s="2" customFormat="true" ht="22.5" customHeight="true" spans="1:7">
      <c r="A1695" s="6">
        <f>1693</f>
        <v>1693</v>
      </c>
      <c r="B1695" s="6" t="s">
        <v>1710</v>
      </c>
      <c r="C1695" s="6" t="s">
        <v>9</v>
      </c>
      <c r="D1695" s="6" t="s">
        <v>122</v>
      </c>
      <c r="E1695" s="6" t="s">
        <v>79</v>
      </c>
      <c r="F1695" s="6">
        <v>1</v>
      </c>
      <c r="G1695" s="6">
        <v>513</v>
      </c>
    </row>
    <row r="1696" s="2" customFormat="true" ht="22.5" customHeight="true" spans="1:7">
      <c r="A1696" s="6">
        <f>1694</f>
        <v>1694</v>
      </c>
      <c r="B1696" s="6" t="s">
        <v>1711</v>
      </c>
      <c r="C1696" s="6" t="s">
        <v>15</v>
      </c>
      <c r="D1696" s="6" t="s">
        <v>260</v>
      </c>
      <c r="E1696" s="6" t="s">
        <v>17</v>
      </c>
      <c r="F1696" s="6">
        <v>1</v>
      </c>
      <c r="G1696" s="6">
        <v>740</v>
      </c>
    </row>
    <row r="1697" s="2" customFormat="true" ht="22.5" customHeight="true" spans="1:7">
      <c r="A1697" s="6">
        <f>1695</f>
        <v>1695</v>
      </c>
      <c r="B1697" s="6" t="s">
        <v>1712</v>
      </c>
      <c r="C1697" s="6" t="s">
        <v>9</v>
      </c>
      <c r="D1697" s="6" t="s">
        <v>159</v>
      </c>
      <c r="E1697" s="6" t="s">
        <v>17</v>
      </c>
      <c r="F1697" s="6">
        <v>1</v>
      </c>
      <c r="G1697" s="6">
        <v>740</v>
      </c>
    </row>
    <row r="1698" s="2" customFormat="true" ht="22.5" customHeight="true" spans="1:7">
      <c r="A1698" s="6">
        <f>1696</f>
        <v>1696</v>
      </c>
      <c r="B1698" s="6" t="s">
        <v>1713</v>
      </c>
      <c r="C1698" s="6" t="s">
        <v>9</v>
      </c>
      <c r="D1698" s="6" t="s">
        <v>122</v>
      </c>
      <c r="E1698" s="6" t="s">
        <v>17</v>
      </c>
      <c r="F1698" s="6">
        <v>1</v>
      </c>
      <c r="G1698" s="6">
        <v>740</v>
      </c>
    </row>
    <row r="1699" s="2" customFormat="true" ht="22.5" customHeight="true" spans="1:7">
      <c r="A1699" s="6">
        <f>1697</f>
        <v>1697</v>
      </c>
      <c r="B1699" s="6" t="s">
        <v>1714</v>
      </c>
      <c r="C1699" s="6" t="s">
        <v>9</v>
      </c>
      <c r="D1699" s="6" t="s">
        <v>117</v>
      </c>
      <c r="E1699" s="6" t="s">
        <v>17</v>
      </c>
      <c r="F1699" s="6">
        <v>1</v>
      </c>
      <c r="G1699" s="6">
        <v>700</v>
      </c>
    </row>
    <row r="1700" s="2" customFormat="true" ht="22.5" customHeight="true" spans="1:7">
      <c r="A1700" s="6">
        <f>1698</f>
        <v>1698</v>
      </c>
      <c r="B1700" s="6" t="s">
        <v>1715</v>
      </c>
      <c r="C1700" s="6" t="s">
        <v>9</v>
      </c>
      <c r="D1700" s="6" t="s">
        <v>167</v>
      </c>
      <c r="E1700" s="6" t="s">
        <v>11</v>
      </c>
      <c r="F1700" s="6">
        <v>1</v>
      </c>
      <c r="G1700" s="6">
        <v>513</v>
      </c>
    </row>
    <row r="1701" s="2" customFormat="true" ht="22.5" customHeight="true" spans="1:7">
      <c r="A1701" s="6">
        <f>1699</f>
        <v>1699</v>
      </c>
      <c r="B1701" s="6" t="s">
        <v>166</v>
      </c>
      <c r="C1701" s="6" t="s">
        <v>9</v>
      </c>
      <c r="D1701" s="6" t="s">
        <v>10</v>
      </c>
      <c r="E1701" s="6" t="s">
        <v>11</v>
      </c>
      <c r="F1701" s="6">
        <v>2</v>
      </c>
      <c r="G1701" s="6">
        <v>1158</v>
      </c>
    </row>
    <row r="1702" s="2" customFormat="true" ht="22.5" customHeight="true" spans="1:7">
      <c r="A1702" s="6">
        <f>1700</f>
        <v>1700</v>
      </c>
      <c r="B1702" s="6" t="s">
        <v>842</v>
      </c>
      <c r="C1702" s="6" t="s">
        <v>9</v>
      </c>
      <c r="D1702" s="6" t="s">
        <v>185</v>
      </c>
      <c r="E1702" s="6" t="s">
        <v>17</v>
      </c>
      <c r="F1702" s="6">
        <v>3</v>
      </c>
      <c r="G1702" s="6">
        <v>1546</v>
      </c>
    </row>
    <row r="1703" s="2" customFormat="true" ht="22.5" customHeight="true" spans="1:7">
      <c r="A1703" s="6">
        <f>1701</f>
        <v>1701</v>
      </c>
      <c r="B1703" s="6" t="s">
        <v>1716</v>
      </c>
      <c r="C1703" s="6" t="s">
        <v>15</v>
      </c>
      <c r="D1703" s="6" t="s">
        <v>131</v>
      </c>
      <c r="E1703" s="6" t="s">
        <v>17</v>
      </c>
      <c r="F1703" s="6">
        <v>4</v>
      </c>
      <c r="G1703" s="6">
        <v>2381</v>
      </c>
    </row>
    <row r="1704" s="2" customFormat="true" ht="22.5" customHeight="true" spans="1:7">
      <c r="A1704" s="6">
        <f>1702</f>
        <v>1702</v>
      </c>
      <c r="B1704" s="6" t="s">
        <v>1717</v>
      </c>
      <c r="C1704" s="6" t="s">
        <v>15</v>
      </c>
      <c r="D1704" s="6" t="s">
        <v>16</v>
      </c>
      <c r="E1704" s="6" t="s">
        <v>17</v>
      </c>
      <c r="F1704" s="6">
        <v>1</v>
      </c>
      <c r="G1704" s="6">
        <v>690</v>
      </c>
    </row>
    <row r="1705" s="2" customFormat="true" ht="22.5" customHeight="true" spans="1:7">
      <c r="A1705" s="6">
        <f>1703</f>
        <v>1703</v>
      </c>
      <c r="B1705" s="6" t="s">
        <v>1718</v>
      </c>
      <c r="C1705" s="6" t="s">
        <v>9</v>
      </c>
      <c r="D1705" s="6" t="s">
        <v>117</v>
      </c>
      <c r="E1705" s="6" t="s">
        <v>17</v>
      </c>
      <c r="F1705" s="6">
        <v>1</v>
      </c>
      <c r="G1705" s="6">
        <v>673</v>
      </c>
    </row>
    <row r="1706" s="2" customFormat="true" ht="22.5" customHeight="true" spans="1:7">
      <c r="A1706" s="6">
        <f>1704</f>
        <v>1704</v>
      </c>
      <c r="B1706" s="6" t="s">
        <v>1719</v>
      </c>
      <c r="C1706" s="6" t="s">
        <v>9</v>
      </c>
      <c r="D1706" s="6" t="s">
        <v>185</v>
      </c>
      <c r="E1706" s="6" t="s">
        <v>17</v>
      </c>
      <c r="F1706" s="6">
        <v>2</v>
      </c>
      <c r="G1706" s="6">
        <v>1304</v>
      </c>
    </row>
    <row r="1707" s="2" customFormat="true" ht="22.5" customHeight="true" spans="1:7">
      <c r="A1707" s="6">
        <f>1705</f>
        <v>1705</v>
      </c>
      <c r="B1707" s="6" t="s">
        <v>1720</v>
      </c>
      <c r="C1707" s="6" t="s">
        <v>9</v>
      </c>
      <c r="D1707" s="6" t="s">
        <v>222</v>
      </c>
      <c r="E1707" s="6" t="s">
        <v>17</v>
      </c>
      <c r="F1707" s="6">
        <v>2</v>
      </c>
      <c r="G1707" s="6">
        <v>1404</v>
      </c>
    </row>
    <row r="1708" s="2" customFormat="true" ht="22.5" customHeight="true" spans="1:7">
      <c r="A1708" s="6">
        <f>1706</f>
        <v>1706</v>
      </c>
      <c r="B1708" s="6" t="s">
        <v>1721</v>
      </c>
      <c r="C1708" s="6" t="s">
        <v>15</v>
      </c>
      <c r="D1708" s="6" t="s">
        <v>104</v>
      </c>
      <c r="E1708" s="6" t="s">
        <v>17</v>
      </c>
      <c r="F1708" s="6">
        <v>1</v>
      </c>
      <c r="G1708" s="6">
        <v>690</v>
      </c>
    </row>
    <row r="1709" s="2" customFormat="true" ht="22.5" customHeight="true" spans="1:7">
      <c r="A1709" s="6">
        <f>1707</f>
        <v>1707</v>
      </c>
      <c r="B1709" s="6" t="s">
        <v>1722</v>
      </c>
      <c r="C1709" s="6" t="s">
        <v>9</v>
      </c>
      <c r="D1709" s="6" t="s">
        <v>239</v>
      </c>
      <c r="E1709" s="6" t="s">
        <v>11</v>
      </c>
      <c r="F1709" s="6">
        <v>2</v>
      </c>
      <c r="G1709" s="6">
        <v>1097</v>
      </c>
    </row>
    <row r="1710" s="2" customFormat="true" ht="22.5" customHeight="true" spans="1:7">
      <c r="A1710" s="6">
        <f>1708</f>
        <v>1708</v>
      </c>
      <c r="B1710" s="6" t="s">
        <v>1223</v>
      </c>
      <c r="C1710" s="6" t="s">
        <v>9</v>
      </c>
      <c r="D1710" s="6" t="s">
        <v>122</v>
      </c>
      <c r="E1710" s="6" t="s">
        <v>17</v>
      </c>
      <c r="F1710" s="6">
        <v>5</v>
      </c>
      <c r="G1710" s="6">
        <v>2895</v>
      </c>
    </row>
    <row r="1711" s="2" customFormat="true" ht="22.5" customHeight="true" spans="1:7">
      <c r="A1711" s="6">
        <f>1709</f>
        <v>1709</v>
      </c>
      <c r="B1711" s="6" t="s">
        <v>1723</v>
      </c>
      <c r="C1711" s="6" t="s">
        <v>9</v>
      </c>
      <c r="D1711" s="6" t="s">
        <v>136</v>
      </c>
      <c r="E1711" s="6" t="s">
        <v>11</v>
      </c>
      <c r="F1711" s="6">
        <v>1</v>
      </c>
      <c r="G1711" s="6">
        <v>594</v>
      </c>
    </row>
    <row r="1712" s="2" customFormat="true" ht="22.5" customHeight="true" spans="1:7">
      <c r="A1712" s="6">
        <f>1710</f>
        <v>1710</v>
      </c>
      <c r="B1712" s="6" t="s">
        <v>1724</v>
      </c>
      <c r="C1712" s="6" t="s">
        <v>9</v>
      </c>
      <c r="D1712" s="6" t="s">
        <v>192</v>
      </c>
      <c r="E1712" s="6" t="s">
        <v>11</v>
      </c>
      <c r="F1712" s="6">
        <v>3</v>
      </c>
      <c r="G1712" s="6">
        <v>1631</v>
      </c>
    </row>
    <row r="1713" s="2" customFormat="true" ht="22.5" customHeight="true" spans="1:7">
      <c r="A1713" s="6">
        <f>1711</f>
        <v>1711</v>
      </c>
      <c r="B1713" s="6" t="s">
        <v>377</v>
      </c>
      <c r="C1713" s="6" t="s">
        <v>9</v>
      </c>
      <c r="D1713" s="6" t="s">
        <v>19</v>
      </c>
      <c r="E1713" s="6" t="s">
        <v>17</v>
      </c>
      <c r="F1713" s="6">
        <v>1</v>
      </c>
      <c r="G1713" s="6">
        <v>738</v>
      </c>
    </row>
    <row r="1714" s="2" customFormat="true" ht="22.5" customHeight="true" spans="1:7">
      <c r="A1714" s="6">
        <f>1712</f>
        <v>1712</v>
      </c>
      <c r="B1714" s="6" t="s">
        <v>1725</v>
      </c>
      <c r="C1714" s="6" t="s">
        <v>15</v>
      </c>
      <c r="D1714" s="6" t="s">
        <v>19</v>
      </c>
      <c r="E1714" s="6" t="s">
        <v>17</v>
      </c>
      <c r="F1714" s="6">
        <v>1</v>
      </c>
      <c r="G1714" s="6">
        <v>698</v>
      </c>
    </row>
    <row r="1715" s="2" customFormat="true" ht="22.5" customHeight="true" spans="1:7">
      <c r="A1715" s="6">
        <f>1713</f>
        <v>1713</v>
      </c>
      <c r="B1715" s="6" t="s">
        <v>1726</v>
      </c>
      <c r="C1715" s="6" t="s">
        <v>15</v>
      </c>
      <c r="D1715" s="6" t="s">
        <v>27</v>
      </c>
      <c r="E1715" s="6" t="s">
        <v>11</v>
      </c>
      <c r="F1715" s="6">
        <v>1</v>
      </c>
      <c r="G1715" s="6">
        <v>586</v>
      </c>
    </row>
    <row r="1716" s="2" customFormat="true" ht="22.5" customHeight="true" spans="1:7">
      <c r="A1716" s="6">
        <f>1714</f>
        <v>1714</v>
      </c>
      <c r="B1716" s="6" t="s">
        <v>1727</v>
      </c>
      <c r="C1716" s="6" t="s">
        <v>9</v>
      </c>
      <c r="D1716" s="6" t="s">
        <v>13</v>
      </c>
      <c r="E1716" s="6" t="s">
        <v>11</v>
      </c>
      <c r="F1716" s="6">
        <v>1</v>
      </c>
      <c r="G1716" s="6">
        <v>596</v>
      </c>
    </row>
    <row r="1717" s="2" customFormat="true" ht="22.5" customHeight="true" spans="1:7">
      <c r="A1717" s="6">
        <f>1715</f>
        <v>1715</v>
      </c>
      <c r="B1717" s="6" t="s">
        <v>1728</v>
      </c>
      <c r="C1717" s="6" t="s">
        <v>9</v>
      </c>
      <c r="D1717" s="6" t="s">
        <v>13</v>
      </c>
      <c r="E1717" s="6" t="s">
        <v>11</v>
      </c>
      <c r="F1717" s="6">
        <v>2</v>
      </c>
      <c r="G1717" s="6">
        <v>1168</v>
      </c>
    </row>
    <row r="1718" s="2" customFormat="true" ht="22.5" customHeight="true" spans="1:7">
      <c r="A1718" s="6">
        <f>1716</f>
        <v>1716</v>
      </c>
      <c r="B1718" s="6" t="s">
        <v>1729</v>
      </c>
      <c r="C1718" s="6" t="s">
        <v>9</v>
      </c>
      <c r="D1718" s="6" t="s">
        <v>13</v>
      </c>
      <c r="E1718" s="6" t="s">
        <v>11</v>
      </c>
      <c r="F1718" s="6">
        <v>1</v>
      </c>
      <c r="G1718" s="6">
        <v>596</v>
      </c>
    </row>
    <row r="1719" s="2" customFormat="true" ht="22.5" customHeight="true" spans="1:7">
      <c r="A1719" s="6">
        <f>1717</f>
        <v>1717</v>
      </c>
      <c r="B1719" s="6" t="s">
        <v>1730</v>
      </c>
      <c r="C1719" s="6" t="s">
        <v>9</v>
      </c>
      <c r="D1719" s="6" t="s">
        <v>230</v>
      </c>
      <c r="E1719" s="6" t="s">
        <v>17</v>
      </c>
      <c r="F1719" s="6">
        <v>2</v>
      </c>
      <c r="G1719" s="6">
        <v>1200</v>
      </c>
    </row>
    <row r="1720" s="2" customFormat="true" ht="22.5" customHeight="true" spans="1:7">
      <c r="A1720" s="6">
        <f>1718</f>
        <v>1718</v>
      </c>
      <c r="B1720" s="6" t="s">
        <v>1731</v>
      </c>
      <c r="C1720" s="6" t="s">
        <v>9</v>
      </c>
      <c r="D1720" s="6" t="s">
        <v>239</v>
      </c>
      <c r="E1720" s="6" t="s">
        <v>79</v>
      </c>
      <c r="F1720" s="6">
        <v>1</v>
      </c>
      <c r="G1720" s="6">
        <v>740</v>
      </c>
    </row>
    <row r="1721" s="2" customFormat="true" ht="22.5" customHeight="true" spans="1:7">
      <c r="A1721" s="6">
        <f>1719</f>
        <v>1719</v>
      </c>
      <c r="B1721" s="6" t="s">
        <v>1732</v>
      </c>
      <c r="C1721" s="6" t="s">
        <v>15</v>
      </c>
      <c r="D1721" s="6" t="s">
        <v>143</v>
      </c>
      <c r="E1721" s="6" t="s">
        <v>17</v>
      </c>
      <c r="F1721" s="6">
        <v>2</v>
      </c>
      <c r="G1721" s="6">
        <v>1127</v>
      </c>
    </row>
    <row r="1722" s="2" customFormat="true" ht="22.5" customHeight="true" spans="1:7">
      <c r="A1722" s="6">
        <f>1720</f>
        <v>1720</v>
      </c>
      <c r="B1722" s="6" t="s">
        <v>1733</v>
      </c>
      <c r="C1722" s="6" t="s">
        <v>15</v>
      </c>
      <c r="D1722" s="6" t="s">
        <v>143</v>
      </c>
      <c r="E1722" s="6" t="s">
        <v>17</v>
      </c>
      <c r="F1722" s="6">
        <v>2</v>
      </c>
      <c r="G1722" s="6">
        <v>1153</v>
      </c>
    </row>
    <row r="1723" s="2" customFormat="true" ht="22.5" customHeight="true" spans="1:7">
      <c r="A1723" s="6">
        <f>1721</f>
        <v>1721</v>
      </c>
      <c r="B1723" s="6" t="s">
        <v>1734</v>
      </c>
      <c r="C1723" s="6" t="s">
        <v>15</v>
      </c>
      <c r="D1723" s="6" t="s">
        <v>35</v>
      </c>
      <c r="E1723" s="6" t="s">
        <v>11</v>
      </c>
      <c r="F1723" s="6">
        <v>1</v>
      </c>
      <c r="G1723" s="6">
        <v>579</v>
      </c>
    </row>
    <row r="1724" s="2" customFormat="true" ht="22.5" customHeight="true" spans="1:7">
      <c r="A1724" s="6">
        <f>1722</f>
        <v>1722</v>
      </c>
      <c r="B1724" s="6" t="s">
        <v>1735</v>
      </c>
      <c r="C1724" s="6" t="s">
        <v>9</v>
      </c>
      <c r="D1724" s="6" t="s">
        <v>10</v>
      </c>
      <c r="E1724" s="6" t="s">
        <v>17</v>
      </c>
      <c r="F1724" s="6">
        <v>1</v>
      </c>
      <c r="G1724" s="6">
        <v>720</v>
      </c>
    </row>
    <row r="1725" s="2" customFormat="true" ht="22.5" customHeight="true" spans="1:7">
      <c r="A1725" s="6">
        <f>1723</f>
        <v>1723</v>
      </c>
      <c r="B1725" s="6" t="s">
        <v>1736</v>
      </c>
      <c r="C1725" s="6" t="s">
        <v>9</v>
      </c>
      <c r="D1725" s="6" t="s">
        <v>117</v>
      </c>
      <c r="E1725" s="6" t="s">
        <v>17</v>
      </c>
      <c r="F1725" s="6">
        <v>2</v>
      </c>
      <c r="G1725" s="6">
        <v>1224</v>
      </c>
    </row>
    <row r="1726" s="2" customFormat="true" ht="22.5" customHeight="true" spans="1:7">
      <c r="A1726" s="6">
        <f>1724</f>
        <v>1724</v>
      </c>
      <c r="B1726" s="6" t="s">
        <v>1737</v>
      </c>
      <c r="C1726" s="6" t="s">
        <v>15</v>
      </c>
      <c r="D1726" s="6" t="s">
        <v>185</v>
      </c>
      <c r="E1726" s="6" t="s">
        <v>11</v>
      </c>
      <c r="F1726" s="6">
        <v>1</v>
      </c>
      <c r="G1726" s="6">
        <v>594</v>
      </c>
    </row>
    <row r="1727" s="2" customFormat="true" ht="22.5" customHeight="true" spans="1:7">
      <c r="A1727" s="6">
        <f>1725</f>
        <v>1725</v>
      </c>
      <c r="B1727" s="6" t="s">
        <v>1738</v>
      </c>
      <c r="C1727" s="6" t="s">
        <v>9</v>
      </c>
      <c r="D1727" s="6" t="s">
        <v>117</v>
      </c>
      <c r="E1727" s="6" t="s">
        <v>17</v>
      </c>
      <c r="F1727" s="6">
        <v>1</v>
      </c>
      <c r="G1727" s="6">
        <v>666</v>
      </c>
    </row>
    <row r="1728" s="2" customFormat="true" ht="22.5" customHeight="true" spans="1:7">
      <c r="A1728" s="6">
        <f>1726</f>
        <v>1726</v>
      </c>
      <c r="B1728" s="6" t="s">
        <v>1739</v>
      </c>
      <c r="C1728" s="6" t="s">
        <v>15</v>
      </c>
      <c r="D1728" s="6" t="s">
        <v>138</v>
      </c>
      <c r="E1728" s="6" t="s">
        <v>17</v>
      </c>
      <c r="F1728" s="6">
        <v>1</v>
      </c>
      <c r="G1728" s="6">
        <v>710</v>
      </c>
    </row>
    <row r="1729" s="2" customFormat="true" ht="22.5" customHeight="true" spans="1:7">
      <c r="A1729" s="6">
        <f>1727</f>
        <v>1727</v>
      </c>
      <c r="B1729" s="6" t="s">
        <v>1740</v>
      </c>
      <c r="C1729" s="6" t="s">
        <v>9</v>
      </c>
      <c r="D1729" s="6" t="s">
        <v>185</v>
      </c>
      <c r="E1729" s="6" t="s">
        <v>11</v>
      </c>
      <c r="F1729" s="6">
        <v>3</v>
      </c>
      <c r="G1729" s="6">
        <v>1631</v>
      </c>
    </row>
    <row r="1730" s="2" customFormat="true" ht="22.5" customHeight="true" spans="1:7">
      <c r="A1730" s="6">
        <f>1728</f>
        <v>1728</v>
      </c>
      <c r="B1730" s="6" t="s">
        <v>1706</v>
      </c>
      <c r="C1730" s="6" t="s">
        <v>9</v>
      </c>
      <c r="D1730" s="6" t="s">
        <v>27</v>
      </c>
      <c r="E1730" s="6" t="s">
        <v>11</v>
      </c>
      <c r="F1730" s="6">
        <v>1</v>
      </c>
      <c r="G1730" s="6">
        <v>416</v>
      </c>
    </row>
    <row r="1731" s="2" customFormat="true" ht="22.5" customHeight="true" spans="1:7">
      <c r="A1731" s="6">
        <f>1729</f>
        <v>1729</v>
      </c>
      <c r="B1731" s="6" t="s">
        <v>1741</v>
      </c>
      <c r="C1731" s="6" t="s">
        <v>9</v>
      </c>
      <c r="D1731" s="6" t="s">
        <v>222</v>
      </c>
      <c r="E1731" s="6" t="s">
        <v>11</v>
      </c>
      <c r="F1731" s="6">
        <v>2</v>
      </c>
      <c r="G1731" s="6">
        <v>1177</v>
      </c>
    </row>
    <row r="1732" s="2" customFormat="true" ht="22.5" customHeight="true" spans="1:7">
      <c r="A1732" s="6">
        <f>1730</f>
        <v>1730</v>
      </c>
      <c r="B1732" s="6" t="s">
        <v>1742</v>
      </c>
      <c r="C1732" s="6" t="s">
        <v>9</v>
      </c>
      <c r="D1732" s="6" t="s">
        <v>164</v>
      </c>
      <c r="E1732" s="6" t="s">
        <v>11</v>
      </c>
      <c r="F1732" s="6">
        <v>2</v>
      </c>
      <c r="G1732" s="6">
        <v>1128</v>
      </c>
    </row>
    <row r="1733" s="2" customFormat="true" ht="22.5" customHeight="true" spans="1:7">
      <c r="A1733" s="6">
        <f>1731</f>
        <v>1731</v>
      </c>
      <c r="B1733" s="6" t="s">
        <v>1743</v>
      </c>
      <c r="C1733" s="6" t="s">
        <v>9</v>
      </c>
      <c r="D1733" s="6" t="s">
        <v>239</v>
      </c>
      <c r="E1733" s="6" t="s">
        <v>11</v>
      </c>
      <c r="F1733" s="6">
        <v>4</v>
      </c>
      <c r="G1733" s="6">
        <v>2305</v>
      </c>
    </row>
    <row r="1734" s="2" customFormat="true" ht="22.5" customHeight="true" spans="1:7">
      <c r="A1734" s="6">
        <f>1732</f>
        <v>1732</v>
      </c>
      <c r="B1734" s="6" t="s">
        <v>1744</v>
      </c>
      <c r="C1734" s="6" t="s">
        <v>9</v>
      </c>
      <c r="D1734" s="6" t="s">
        <v>16</v>
      </c>
      <c r="E1734" s="6" t="s">
        <v>17</v>
      </c>
      <c r="F1734" s="6">
        <v>3</v>
      </c>
      <c r="G1734" s="6">
        <v>1697</v>
      </c>
    </row>
    <row r="1735" s="2" customFormat="true" ht="22.5" customHeight="true" spans="1:7">
      <c r="A1735" s="6">
        <f>1733</f>
        <v>1733</v>
      </c>
      <c r="B1735" s="6" t="s">
        <v>1745</v>
      </c>
      <c r="C1735" s="6" t="s">
        <v>9</v>
      </c>
      <c r="D1735" s="6" t="s">
        <v>239</v>
      </c>
      <c r="E1735" s="6" t="s">
        <v>17</v>
      </c>
      <c r="F1735" s="6">
        <v>3</v>
      </c>
      <c r="G1735" s="6">
        <v>1466</v>
      </c>
    </row>
    <row r="1736" s="2" customFormat="true" ht="22.5" customHeight="true" spans="1:7">
      <c r="A1736" s="6">
        <f>1734</f>
        <v>1734</v>
      </c>
      <c r="B1736" s="6" t="s">
        <v>1746</v>
      </c>
      <c r="C1736" s="6" t="s">
        <v>9</v>
      </c>
      <c r="D1736" s="6" t="s">
        <v>270</v>
      </c>
      <c r="E1736" s="6" t="s">
        <v>11</v>
      </c>
      <c r="F1736" s="6">
        <v>1</v>
      </c>
      <c r="G1736" s="6">
        <v>664</v>
      </c>
    </row>
    <row r="1737" s="2" customFormat="true" ht="22.5" customHeight="true" spans="1:7">
      <c r="A1737" s="6">
        <f>1735</f>
        <v>1735</v>
      </c>
      <c r="B1737" s="6" t="s">
        <v>1747</v>
      </c>
      <c r="C1737" s="6" t="s">
        <v>9</v>
      </c>
      <c r="D1737" s="6" t="s">
        <v>16</v>
      </c>
      <c r="E1737" s="6" t="s">
        <v>17</v>
      </c>
      <c r="F1737" s="6">
        <v>2</v>
      </c>
      <c r="G1737" s="6">
        <v>1103</v>
      </c>
    </row>
    <row r="1738" s="2" customFormat="true" ht="22.5" customHeight="true" spans="1:7">
      <c r="A1738" s="6">
        <f>1736</f>
        <v>1736</v>
      </c>
      <c r="B1738" s="6" t="s">
        <v>1748</v>
      </c>
      <c r="C1738" s="6" t="s">
        <v>9</v>
      </c>
      <c r="D1738" s="6" t="s">
        <v>185</v>
      </c>
      <c r="E1738" s="6" t="s">
        <v>17</v>
      </c>
      <c r="F1738" s="6">
        <v>1</v>
      </c>
      <c r="G1738" s="6">
        <v>690</v>
      </c>
    </row>
    <row r="1739" s="2" customFormat="true" ht="22.5" customHeight="true" spans="1:7">
      <c r="A1739" s="6">
        <f>1737</f>
        <v>1737</v>
      </c>
      <c r="B1739" s="6" t="s">
        <v>1749</v>
      </c>
      <c r="C1739" s="6" t="s">
        <v>9</v>
      </c>
      <c r="D1739" s="6" t="s">
        <v>122</v>
      </c>
      <c r="E1739" s="6" t="s">
        <v>17</v>
      </c>
      <c r="F1739" s="6">
        <v>2</v>
      </c>
      <c r="G1739" s="6">
        <v>1164</v>
      </c>
    </row>
    <row r="1740" s="2" customFormat="true" ht="22.5" customHeight="true" spans="1:7">
      <c r="A1740" s="6">
        <f>1738</f>
        <v>1738</v>
      </c>
      <c r="B1740" s="6" t="s">
        <v>903</v>
      </c>
      <c r="C1740" s="6" t="s">
        <v>9</v>
      </c>
      <c r="D1740" s="6" t="s">
        <v>270</v>
      </c>
      <c r="E1740" s="6" t="s">
        <v>17</v>
      </c>
      <c r="F1740" s="6">
        <v>1</v>
      </c>
      <c r="G1740" s="6">
        <v>740</v>
      </c>
    </row>
    <row r="1741" s="2" customFormat="true" ht="22.5" customHeight="true" spans="1:7">
      <c r="A1741" s="6">
        <f>1739</f>
        <v>1739</v>
      </c>
      <c r="B1741" s="6" t="s">
        <v>1750</v>
      </c>
      <c r="C1741" s="6" t="s">
        <v>9</v>
      </c>
      <c r="D1741" s="6" t="s">
        <v>159</v>
      </c>
      <c r="E1741" s="6" t="s">
        <v>17</v>
      </c>
      <c r="F1741" s="6">
        <v>1</v>
      </c>
      <c r="G1741" s="6">
        <v>740</v>
      </c>
    </row>
    <row r="1742" s="2" customFormat="true" ht="22.5" customHeight="true" spans="1:7">
      <c r="A1742" s="6">
        <f>1740</f>
        <v>1740</v>
      </c>
      <c r="B1742" s="6" t="s">
        <v>1751</v>
      </c>
      <c r="C1742" s="6" t="s">
        <v>9</v>
      </c>
      <c r="D1742" s="6" t="s">
        <v>185</v>
      </c>
      <c r="E1742" s="6" t="s">
        <v>17</v>
      </c>
      <c r="F1742" s="6">
        <v>1</v>
      </c>
      <c r="G1742" s="6">
        <v>690</v>
      </c>
    </row>
    <row r="1743" s="2" customFormat="true" ht="22.5" customHeight="true" spans="1:7">
      <c r="A1743" s="6">
        <f>1741</f>
        <v>1741</v>
      </c>
      <c r="B1743" s="6" t="s">
        <v>1752</v>
      </c>
      <c r="C1743" s="6" t="s">
        <v>15</v>
      </c>
      <c r="D1743" s="6" t="s">
        <v>16</v>
      </c>
      <c r="E1743" s="6" t="s">
        <v>17</v>
      </c>
      <c r="F1743" s="6">
        <v>4</v>
      </c>
      <c r="G1743" s="6">
        <v>2291</v>
      </c>
    </row>
    <row r="1744" s="2" customFormat="true" ht="22.5" customHeight="true" spans="1:7">
      <c r="A1744" s="6">
        <f>1742</f>
        <v>1742</v>
      </c>
      <c r="B1744" s="6" t="s">
        <v>1753</v>
      </c>
      <c r="C1744" s="6" t="s">
        <v>9</v>
      </c>
      <c r="D1744" s="6" t="s">
        <v>182</v>
      </c>
      <c r="E1744" s="6" t="s">
        <v>17</v>
      </c>
      <c r="F1744" s="6">
        <v>1</v>
      </c>
      <c r="G1744" s="6">
        <v>690</v>
      </c>
    </row>
    <row r="1745" s="2" customFormat="true" ht="22.5" customHeight="true" spans="1:7">
      <c r="A1745" s="6">
        <f>1743</f>
        <v>1743</v>
      </c>
      <c r="B1745" s="6" t="s">
        <v>1754</v>
      </c>
      <c r="C1745" s="6" t="s">
        <v>15</v>
      </c>
      <c r="D1745" s="6" t="s">
        <v>104</v>
      </c>
      <c r="E1745" s="6" t="s">
        <v>11</v>
      </c>
      <c r="F1745" s="6">
        <v>2</v>
      </c>
      <c r="G1745" s="6">
        <v>1037</v>
      </c>
    </row>
    <row r="1746" s="2" customFormat="true" ht="22.5" customHeight="true" spans="1:7">
      <c r="A1746" s="6">
        <f>1744</f>
        <v>1744</v>
      </c>
      <c r="B1746" s="6" t="s">
        <v>1755</v>
      </c>
      <c r="C1746" s="6" t="s">
        <v>9</v>
      </c>
      <c r="D1746" s="6" t="s">
        <v>149</v>
      </c>
      <c r="E1746" s="6" t="s">
        <v>11</v>
      </c>
      <c r="F1746" s="6">
        <v>1</v>
      </c>
      <c r="G1746" s="6">
        <v>714</v>
      </c>
    </row>
    <row r="1747" s="2" customFormat="true" ht="22.5" customHeight="true" spans="1:7">
      <c r="A1747" s="6">
        <f>1745</f>
        <v>1745</v>
      </c>
      <c r="B1747" s="6" t="s">
        <v>1756</v>
      </c>
      <c r="C1747" s="6" t="s">
        <v>9</v>
      </c>
      <c r="D1747" s="6" t="s">
        <v>192</v>
      </c>
      <c r="E1747" s="6" t="s">
        <v>11</v>
      </c>
      <c r="F1747" s="6">
        <v>2</v>
      </c>
      <c r="G1747" s="6">
        <v>1037</v>
      </c>
    </row>
    <row r="1748" s="2" customFormat="true" ht="22.5" customHeight="true" spans="1:7">
      <c r="A1748" s="6">
        <f>1746</f>
        <v>1746</v>
      </c>
      <c r="B1748" s="6" t="s">
        <v>1757</v>
      </c>
      <c r="C1748" s="6" t="s">
        <v>9</v>
      </c>
      <c r="D1748" s="6" t="s">
        <v>270</v>
      </c>
      <c r="E1748" s="6" t="s">
        <v>11</v>
      </c>
      <c r="F1748" s="6">
        <v>2</v>
      </c>
      <c r="G1748" s="6">
        <v>1328</v>
      </c>
    </row>
    <row r="1749" s="2" customFormat="true" ht="22.5" customHeight="true" spans="1:7">
      <c r="A1749" s="6">
        <f>1747</f>
        <v>1747</v>
      </c>
      <c r="B1749" s="6" t="s">
        <v>1758</v>
      </c>
      <c r="C1749" s="6" t="s">
        <v>9</v>
      </c>
      <c r="D1749" s="6" t="s">
        <v>16</v>
      </c>
      <c r="E1749" s="6" t="s">
        <v>17</v>
      </c>
      <c r="F1749" s="6">
        <v>3</v>
      </c>
      <c r="G1749" s="6">
        <v>1918</v>
      </c>
    </row>
    <row r="1750" s="2" customFormat="true" ht="22.5" customHeight="true" spans="1:7">
      <c r="A1750" s="6">
        <f>1748</f>
        <v>1748</v>
      </c>
      <c r="B1750" s="6" t="s">
        <v>1759</v>
      </c>
      <c r="C1750" s="6" t="s">
        <v>15</v>
      </c>
      <c r="D1750" s="6" t="s">
        <v>67</v>
      </c>
      <c r="E1750" s="6" t="s">
        <v>17</v>
      </c>
      <c r="F1750" s="6">
        <v>1</v>
      </c>
      <c r="G1750" s="6">
        <v>658</v>
      </c>
    </row>
    <row r="1751" s="2" customFormat="true" ht="22.5" customHeight="true" spans="1:7">
      <c r="A1751" s="6">
        <f>1749</f>
        <v>1749</v>
      </c>
      <c r="B1751" s="6" t="s">
        <v>1760</v>
      </c>
      <c r="C1751" s="6" t="s">
        <v>15</v>
      </c>
      <c r="D1751" s="6" t="s">
        <v>131</v>
      </c>
      <c r="E1751" s="6" t="s">
        <v>11</v>
      </c>
      <c r="F1751" s="6">
        <v>4</v>
      </c>
      <c r="G1751" s="6">
        <v>2105</v>
      </c>
    </row>
    <row r="1752" s="2" customFormat="true" ht="22.5" customHeight="true" spans="1:7">
      <c r="A1752" s="6">
        <f>1750</f>
        <v>1750</v>
      </c>
      <c r="B1752" s="6" t="s">
        <v>1761</v>
      </c>
      <c r="C1752" s="6" t="s">
        <v>15</v>
      </c>
      <c r="D1752" s="6" t="s">
        <v>149</v>
      </c>
      <c r="E1752" s="6" t="s">
        <v>11</v>
      </c>
      <c r="F1752" s="6">
        <v>2</v>
      </c>
      <c r="G1752" s="6">
        <v>826</v>
      </c>
    </row>
    <row r="1753" s="2" customFormat="true" ht="22.5" customHeight="true" spans="1:7">
      <c r="A1753" s="6">
        <f>1751</f>
        <v>1751</v>
      </c>
      <c r="B1753" s="6" t="s">
        <v>1762</v>
      </c>
      <c r="C1753" s="6" t="s">
        <v>15</v>
      </c>
      <c r="D1753" s="6" t="s">
        <v>161</v>
      </c>
      <c r="E1753" s="6" t="s">
        <v>79</v>
      </c>
      <c r="F1753" s="6">
        <v>1</v>
      </c>
      <c r="G1753" s="6">
        <v>563</v>
      </c>
    </row>
    <row r="1754" s="2" customFormat="true" ht="22.5" customHeight="true" spans="1:7">
      <c r="A1754" s="6">
        <f>1752</f>
        <v>1752</v>
      </c>
      <c r="B1754" s="6" t="s">
        <v>1763</v>
      </c>
      <c r="C1754" s="6" t="s">
        <v>9</v>
      </c>
      <c r="D1754" s="6" t="s">
        <v>230</v>
      </c>
      <c r="E1754" s="6" t="s">
        <v>17</v>
      </c>
      <c r="F1754" s="6">
        <v>4</v>
      </c>
      <c r="G1754" s="6">
        <v>2173</v>
      </c>
    </row>
    <row r="1755" s="2" customFormat="true" ht="22.5" customHeight="true" spans="1:7">
      <c r="A1755" s="6">
        <f>1753</f>
        <v>1753</v>
      </c>
      <c r="B1755" s="6" t="s">
        <v>1764</v>
      </c>
      <c r="C1755" s="6" t="s">
        <v>9</v>
      </c>
      <c r="D1755" s="6" t="s">
        <v>129</v>
      </c>
      <c r="E1755" s="6" t="s">
        <v>17</v>
      </c>
      <c r="F1755" s="6">
        <v>3</v>
      </c>
      <c r="G1755" s="6">
        <v>1767</v>
      </c>
    </row>
    <row r="1756" s="2" customFormat="true" ht="22.5" customHeight="true" spans="1:7">
      <c r="A1756" s="6">
        <f>1754</f>
        <v>1754</v>
      </c>
      <c r="B1756" s="6" t="s">
        <v>1270</v>
      </c>
      <c r="C1756" s="6" t="s">
        <v>15</v>
      </c>
      <c r="D1756" s="6" t="s">
        <v>10</v>
      </c>
      <c r="E1756" s="6" t="s">
        <v>11</v>
      </c>
      <c r="F1756" s="6">
        <v>1</v>
      </c>
      <c r="G1756" s="6">
        <v>656</v>
      </c>
    </row>
    <row r="1757" s="2" customFormat="true" ht="22.5" customHeight="true" spans="1:7">
      <c r="A1757" s="6">
        <f>1755</f>
        <v>1755</v>
      </c>
      <c r="B1757" s="6" t="s">
        <v>1219</v>
      </c>
      <c r="C1757" s="6" t="s">
        <v>15</v>
      </c>
      <c r="D1757" s="6" t="s">
        <v>239</v>
      </c>
      <c r="E1757" s="6" t="s">
        <v>17</v>
      </c>
      <c r="F1757" s="6">
        <v>1</v>
      </c>
      <c r="G1757" s="6">
        <v>740</v>
      </c>
    </row>
    <row r="1758" s="2" customFormat="true" ht="22.5" customHeight="true" spans="1:7">
      <c r="A1758" s="6">
        <f>1756</f>
        <v>1756</v>
      </c>
      <c r="B1758" s="6" t="s">
        <v>1765</v>
      </c>
      <c r="C1758" s="6" t="s">
        <v>15</v>
      </c>
      <c r="D1758" s="6" t="s">
        <v>13</v>
      </c>
      <c r="E1758" s="6" t="s">
        <v>17</v>
      </c>
      <c r="F1758" s="6">
        <v>1</v>
      </c>
      <c r="G1758" s="6">
        <v>748</v>
      </c>
    </row>
    <row r="1759" s="2" customFormat="true" ht="22.5" customHeight="true" spans="1:7">
      <c r="A1759" s="6">
        <f>1757</f>
        <v>1757</v>
      </c>
      <c r="B1759" s="6" t="s">
        <v>1766</v>
      </c>
      <c r="C1759" s="6" t="s">
        <v>9</v>
      </c>
      <c r="D1759" s="6" t="s">
        <v>13</v>
      </c>
      <c r="E1759" s="6" t="s">
        <v>11</v>
      </c>
      <c r="F1759" s="6">
        <v>2</v>
      </c>
      <c r="G1759" s="6">
        <v>1212</v>
      </c>
    </row>
    <row r="1760" s="2" customFormat="true" ht="22.5" customHeight="true" spans="1:7">
      <c r="A1760" s="6">
        <f>1758</f>
        <v>1758</v>
      </c>
      <c r="B1760" s="6" t="s">
        <v>1767</v>
      </c>
      <c r="C1760" s="6" t="s">
        <v>9</v>
      </c>
      <c r="D1760" s="6" t="s">
        <v>164</v>
      </c>
      <c r="E1760" s="6" t="s">
        <v>17</v>
      </c>
      <c r="F1760" s="6">
        <v>1</v>
      </c>
      <c r="G1760" s="6">
        <v>740</v>
      </c>
    </row>
    <row r="1761" s="2" customFormat="true" ht="22.5" customHeight="true" spans="1:7">
      <c r="A1761" s="6">
        <f>1759</f>
        <v>1759</v>
      </c>
      <c r="B1761" s="6" t="s">
        <v>1768</v>
      </c>
      <c r="C1761" s="6" t="s">
        <v>9</v>
      </c>
      <c r="D1761" s="6" t="s">
        <v>117</v>
      </c>
      <c r="E1761" s="6" t="s">
        <v>11</v>
      </c>
      <c r="F1761" s="6">
        <v>1</v>
      </c>
      <c r="G1761" s="6">
        <v>636</v>
      </c>
    </row>
    <row r="1762" s="2" customFormat="true" ht="22.5" customHeight="true" spans="1:7">
      <c r="A1762" s="6">
        <f>1760</f>
        <v>1760</v>
      </c>
      <c r="B1762" s="6" t="s">
        <v>995</v>
      </c>
      <c r="C1762" s="6" t="s">
        <v>9</v>
      </c>
      <c r="D1762" s="6" t="s">
        <v>230</v>
      </c>
      <c r="E1762" s="6" t="s">
        <v>11</v>
      </c>
      <c r="F1762" s="6">
        <v>2</v>
      </c>
      <c r="G1762" s="6">
        <v>1324</v>
      </c>
    </row>
    <row r="1763" s="2" customFormat="true" ht="22.5" customHeight="true" spans="1:7">
      <c r="A1763" s="6">
        <f>1761</f>
        <v>1761</v>
      </c>
      <c r="B1763" s="6" t="s">
        <v>1769</v>
      </c>
      <c r="C1763" s="6" t="s">
        <v>9</v>
      </c>
      <c r="D1763" s="6" t="s">
        <v>209</v>
      </c>
      <c r="E1763" s="6" t="s">
        <v>17</v>
      </c>
      <c r="F1763" s="6">
        <v>1</v>
      </c>
      <c r="G1763" s="6">
        <v>748</v>
      </c>
    </row>
    <row r="1764" s="2" customFormat="true" ht="22.5" customHeight="true" spans="1:7">
      <c r="A1764" s="6">
        <f>1762</f>
        <v>1762</v>
      </c>
      <c r="B1764" s="6" t="s">
        <v>1770</v>
      </c>
      <c r="C1764" s="6" t="s">
        <v>9</v>
      </c>
      <c r="D1764" s="6" t="s">
        <v>16</v>
      </c>
      <c r="E1764" s="6" t="s">
        <v>17</v>
      </c>
      <c r="F1764" s="6">
        <v>1</v>
      </c>
      <c r="G1764" s="6">
        <v>690</v>
      </c>
    </row>
    <row r="1765" s="2" customFormat="true" ht="22.5" customHeight="true" spans="1:7">
      <c r="A1765" s="6">
        <f>1763</f>
        <v>1763</v>
      </c>
      <c r="B1765" s="6" t="s">
        <v>1771</v>
      </c>
      <c r="C1765" s="6" t="s">
        <v>9</v>
      </c>
      <c r="D1765" s="6" t="s">
        <v>131</v>
      </c>
      <c r="E1765" s="6" t="s">
        <v>17</v>
      </c>
      <c r="F1765" s="6">
        <v>1</v>
      </c>
      <c r="G1765" s="6">
        <v>740</v>
      </c>
    </row>
    <row r="1766" s="2" customFormat="true" ht="22.5" customHeight="true" spans="1:7">
      <c r="A1766" s="6">
        <f>1764</f>
        <v>1764</v>
      </c>
      <c r="B1766" s="6" t="s">
        <v>1772</v>
      </c>
      <c r="C1766" s="6" t="s">
        <v>15</v>
      </c>
      <c r="D1766" s="6" t="s">
        <v>185</v>
      </c>
      <c r="E1766" s="6" t="s">
        <v>17</v>
      </c>
      <c r="F1766" s="6">
        <v>4</v>
      </c>
      <c r="G1766" s="6">
        <v>2206</v>
      </c>
    </row>
    <row r="1767" s="2" customFormat="true" ht="22.5" customHeight="true" spans="1:7">
      <c r="A1767" s="6">
        <f>1765</f>
        <v>1765</v>
      </c>
      <c r="B1767" s="6" t="s">
        <v>1773</v>
      </c>
      <c r="C1767" s="6" t="s">
        <v>9</v>
      </c>
      <c r="D1767" s="6" t="s">
        <v>239</v>
      </c>
      <c r="E1767" s="6" t="s">
        <v>11</v>
      </c>
      <c r="F1767" s="6">
        <v>4</v>
      </c>
      <c r="G1767" s="6">
        <v>2305</v>
      </c>
    </row>
    <row r="1768" s="2" customFormat="true" ht="22.5" customHeight="true" spans="1:7">
      <c r="A1768" s="6">
        <f>1766</f>
        <v>1766</v>
      </c>
      <c r="B1768" s="6" t="s">
        <v>1774</v>
      </c>
      <c r="C1768" s="6" t="s">
        <v>15</v>
      </c>
      <c r="D1768" s="6" t="s">
        <v>416</v>
      </c>
      <c r="E1768" s="6" t="s">
        <v>17</v>
      </c>
      <c r="F1768" s="6">
        <v>1</v>
      </c>
      <c r="G1768" s="6">
        <v>740</v>
      </c>
    </row>
    <row r="1769" s="2" customFormat="true" ht="22.5" customHeight="true" spans="1:7">
      <c r="A1769" s="6">
        <f>1767</f>
        <v>1767</v>
      </c>
      <c r="B1769" s="6" t="s">
        <v>1775</v>
      </c>
      <c r="C1769" s="6" t="s">
        <v>9</v>
      </c>
      <c r="D1769" s="6" t="s">
        <v>35</v>
      </c>
      <c r="E1769" s="6" t="s">
        <v>11</v>
      </c>
      <c r="F1769" s="6">
        <v>1</v>
      </c>
      <c r="G1769" s="6">
        <v>597</v>
      </c>
    </row>
    <row r="1770" s="2" customFormat="true" ht="22.5" customHeight="true" spans="1:7">
      <c r="A1770" s="6">
        <f>1768</f>
        <v>1768</v>
      </c>
      <c r="B1770" s="6" t="s">
        <v>1776</v>
      </c>
      <c r="C1770" s="6" t="s">
        <v>9</v>
      </c>
      <c r="D1770" s="6" t="s">
        <v>182</v>
      </c>
      <c r="E1770" s="6" t="s">
        <v>17</v>
      </c>
      <c r="F1770" s="6">
        <v>1</v>
      </c>
      <c r="G1770" s="6">
        <v>690</v>
      </c>
    </row>
    <row r="1771" s="2" customFormat="true" ht="22.5" customHeight="true" spans="1:7">
      <c r="A1771" s="6">
        <f>1769</f>
        <v>1769</v>
      </c>
      <c r="B1771" s="6" t="s">
        <v>1777</v>
      </c>
      <c r="C1771" s="6" t="s">
        <v>15</v>
      </c>
      <c r="D1771" s="6" t="s">
        <v>16</v>
      </c>
      <c r="E1771" s="6" t="s">
        <v>17</v>
      </c>
      <c r="F1771" s="6">
        <v>1</v>
      </c>
      <c r="G1771" s="6">
        <v>690</v>
      </c>
    </row>
    <row r="1772" s="2" customFormat="true" ht="22.5" customHeight="true" spans="1:7">
      <c r="A1772" s="6">
        <f>1770</f>
        <v>1770</v>
      </c>
      <c r="B1772" s="6" t="s">
        <v>1778</v>
      </c>
      <c r="C1772" s="6" t="s">
        <v>15</v>
      </c>
      <c r="D1772" s="6" t="s">
        <v>146</v>
      </c>
      <c r="E1772" s="6" t="s">
        <v>79</v>
      </c>
      <c r="F1772" s="6">
        <v>2</v>
      </c>
      <c r="G1772" s="6">
        <v>1162</v>
      </c>
    </row>
    <row r="1773" s="2" customFormat="true" ht="22.5" customHeight="true" spans="1:7">
      <c r="A1773" s="6">
        <f>1771</f>
        <v>1771</v>
      </c>
      <c r="B1773" s="6" t="s">
        <v>1779</v>
      </c>
      <c r="C1773" s="6" t="s">
        <v>9</v>
      </c>
      <c r="D1773" s="6" t="s">
        <v>239</v>
      </c>
      <c r="E1773" s="6" t="s">
        <v>17</v>
      </c>
      <c r="F1773" s="6">
        <v>5</v>
      </c>
      <c r="G1773" s="6">
        <v>2835</v>
      </c>
    </row>
    <row r="1774" s="2" customFormat="true" ht="22.5" customHeight="true" spans="1:7">
      <c r="A1774" s="6">
        <f>1772</f>
        <v>1772</v>
      </c>
      <c r="B1774" s="6" t="s">
        <v>1414</v>
      </c>
      <c r="C1774" s="6" t="s">
        <v>15</v>
      </c>
      <c r="D1774" s="6" t="s">
        <v>182</v>
      </c>
      <c r="E1774" s="6" t="s">
        <v>17</v>
      </c>
      <c r="F1774" s="6">
        <v>1</v>
      </c>
      <c r="G1774" s="6">
        <v>690</v>
      </c>
    </row>
    <row r="1775" s="2" customFormat="true" ht="22.5" customHeight="true" spans="1:7">
      <c r="A1775" s="6">
        <f>1773</f>
        <v>1773</v>
      </c>
      <c r="B1775" s="6" t="s">
        <v>1780</v>
      </c>
      <c r="C1775" s="6" t="s">
        <v>9</v>
      </c>
      <c r="D1775" s="6" t="s">
        <v>280</v>
      </c>
      <c r="E1775" s="6" t="s">
        <v>17</v>
      </c>
      <c r="F1775" s="6">
        <v>2</v>
      </c>
      <c r="G1775" s="6">
        <v>1340</v>
      </c>
    </row>
    <row r="1776" s="2" customFormat="true" ht="22.5" customHeight="true" spans="1:7">
      <c r="A1776" s="6">
        <f>1774</f>
        <v>1774</v>
      </c>
      <c r="B1776" s="6" t="s">
        <v>1781</v>
      </c>
      <c r="C1776" s="6" t="s">
        <v>9</v>
      </c>
      <c r="D1776" s="6" t="s">
        <v>129</v>
      </c>
      <c r="E1776" s="6" t="s">
        <v>17</v>
      </c>
      <c r="F1776" s="6">
        <v>1</v>
      </c>
      <c r="G1776" s="6">
        <v>708</v>
      </c>
    </row>
    <row r="1777" s="2" customFormat="true" ht="22.5" customHeight="true" spans="1:7">
      <c r="A1777" s="6">
        <f>1775</f>
        <v>1775</v>
      </c>
      <c r="B1777" s="6" t="s">
        <v>1782</v>
      </c>
      <c r="C1777" s="6" t="s">
        <v>9</v>
      </c>
      <c r="D1777" s="6" t="s">
        <v>169</v>
      </c>
      <c r="E1777" s="6" t="s">
        <v>17</v>
      </c>
      <c r="F1777" s="6">
        <v>2</v>
      </c>
      <c r="G1777" s="6">
        <v>1340</v>
      </c>
    </row>
    <row r="1778" s="2" customFormat="true" ht="22.5" customHeight="true" spans="1:7">
      <c r="A1778" s="6">
        <f>1776</f>
        <v>1776</v>
      </c>
      <c r="B1778" s="6" t="s">
        <v>1783</v>
      </c>
      <c r="C1778" s="6" t="s">
        <v>9</v>
      </c>
      <c r="D1778" s="6" t="s">
        <v>146</v>
      </c>
      <c r="E1778" s="6" t="s">
        <v>17</v>
      </c>
      <c r="F1778" s="6">
        <v>1</v>
      </c>
      <c r="G1778" s="6">
        <v>708</v>
      </c>
    </row>
    <row r="1779" s="2" customFormat="true" ht="22.5" customHeight="true" spans="1:7">
      <c r="A1779" s="6">
        <f>1777</f>
        <v>1777</v>
      </c>
      <c r="B1779" s="6" t="s">
        <v>1784</v>
      </c>
      <c r="C1779" s="6" t="s">
        <v>9</v>
      </c>
      <c r="D1779" s="6" t="s">
        <v>182</v>
      </c>
      <c r="E1779" s="6" t="s">
        <v>17</v>
      </c>
      <c r="F1779" s="6">
        <v>1</v>
      </c>
      <c r="G1779" s="6">
        <v>690</v>
      </c>
    </row>
    <row r="1780" s="2" customFormat="true" ht="22.5" customHeight="true" spans="1:7">
      <c r="A1780" s="6">
        <f>1778</f>
        <v>1778</v>
      </c>
      <c r="B1780" s="6" t="s">
        <v>1785</v>
      </c>
      <c r="C1780" s="6" t="s">
        <v>15</v>
      </c>
      <c r="D1780" s="6" t="s">
        <v>230</v>
      </c>
      <c r="E1780" s="6" t="s">
        <v>17</v>
      </c>
      <c r="F1780" s="6">
        <v>1</v>
      </c>
      <c r="G1780" s="6">
        <v>686</v>
      </c>
    </row>
    <row r="1781" s="2" customFormat="true" ht="22.5" customHeight="true" spans="1:7">
      <c r="A1781" s="6">
        <f>1779</f>
        <v>1779</v>
      </c>
      <c r="B1781" s="6" t="s">
        <v>1786</v>
      </c>
      <c r="C1781" s="6" t="s">
        <v>15</v>
      </c>
      <c r="D1781" s="6" t="s">
        <v>202</v>
      </c>
      <c r="E1781" s="6" t="s">
        <v>17</v>
      </c>
      <c r="F1781" s="6">
        <v>1</v>
      </c>
      <c r="G1781" s="6">
        <v>726</v>
      </c>
    </row>
    <row r="1782" s="2" customFormat="true" ht="22.5" customHeight="true" spans="1:7">
      <c r="A1782" s="6">
        <f>1780</f>
        <v>1780</v>
      </c>
      <c r="B1782" s="6" t="s">
        <v>1787</v>
      </c>
      <c r="C1782" s="6" t="s">
        <v>9</v>
      </c>
      <c r="D1782" s="6" t="s">
        <v>169</v>
      </c>
      <c r="E1782" s="6" t="s">
        <v>17</v>
      </c>
      <c r="F1782" s="6">
        <v>2</v>
      </c>
      <c r="G1782" s="6">
        <v>1189</v>
      </c>
    </row>
    <row r="1783" s="2" customFormat="true" ht="22.5" customHeight="true" spans="1:7">
      <c r="A1783" s="6">
        <f>1781</f>
        <v>1781</v>
      </c>
      <c r="B1783" s="6" t="s">
        <v>1788</v>
      </c>
      <c r="C1783" s="6" t="s">
        <v>9</v>
      </c>
      <c r="D1783" s="6" t="s">
        <v>416</v>
      </c>
      <c r="E1783" s="6" t="s">
        <v>17</v>
      </c>
      <c r="F1783" s="6">
        <v>3</v>
      </c>
      <c r="G1783" s="6">
        <v>1761</v>
      </c>
    </row>
    <row r="1784" s="2" customFormat="true" ht="22.5" customHeight="true" spans="1:7">
      <c r="A1784" s="6">
        <f>1782</f>
        <v>1782</v>
      </c>
      <c r="B1784" s="6" t="s">
        <v>1789</v>
      </c>
      <c r="C1784" s="6" t="s">
        <v>15</v>
      </c>
      <c r="D1784" s="6" t="s">
        <v>169</v>
      </c>
      <c r="E1784" s="6" t="s">
        <v>17</v>
      </c>
      <c r="F1784" s="6">
        <v>1</v>
      </c>
      <c r="G1784" s="6">
        <v>708</v>
      </c>
    </row>
    <row r="1785" s="2" customFormat="true" ht="22.5" customHeight="true" spans="1:7">
      <c r="A1785" s="6">
        <f>1783</f>
        <v>1783</v>
      </c>
      <c r="B1785" s="6" t="s">
        <v>1790</v>
      </c>
      <c r="C1785" s="6" t="s">
        <v>9</v>
      </c>
      <c r="D1785" s="6" t="s">
        <v>416</v>
      </c>
      <c r="E1785" s="6" t="s">
        <v>11</v>
      </c>
      <c r="F1785" s="6">
        <v>3</v>
      </c>
      <c r="G1785" s="6">
        <v>1895</v>
      </c>
    </row>
    <row r="1786" s="2" customFormat="true" ht="22.5" customHeight="true" spans="1:7">
      <c r="A1786" s="6">
        <f>1784</f>
        <v>1784</v>
      </c>
      <c r="B1786" s="6" t="s">
        <v>516</v>
      </c>
      <c r="C1786" s="6" t="s">
        <v>9</v>
      </c>
      <c r="D1786" s="6" t="s">
        <v>146</v>
      </c>
      <c r="E1786" s="6" t="s">
        <v>17</v>
      </c>
      <c r="F1786" s="6">
        <v>1</v>
      </c>
      <c r="G1786" s="6">
        <v>708</v>
      </c>
    </row>
    <row r="1787" s="2" customFormat="true" ht="22.5" customHeight="true" spans="1:7">
      <c r="A1787" s="6">
        <f>1785</f>
        <v>1785</v>
      </c>
      <c r="B1787" s="6" t="s">
        <v>1791</v>
      </c>
      <c r="C1787" s="6" t="s">
        <v>9</v>
      </c>
      <c r="D1787" s="6" t="s">
        <v>143</v>
      </c>
      <c r="E1787" s="6" t="s">
        <v>11</v>
      </c>
      <c r="F1787" s="6">
        <v>1</v>
      </c>
      <c r="G1787" s="6">
        <v>632</v>
      </c>
    </row>
    <row r="1788" s="2" customFormat="true" ht="22.5" customHeight="true" spans="1:7">
      <c r="A1788" s="6">
        <f>1786</f>
        <v>1786</v>
      </c>
      <c r="B1788" s="6" t="s">
        <v>1792</v>
      </c>
      <c r="C1788" s="6" t="s">
        <v>15</v>
      </c>
      <c r="D1788" s="6" t="s">
        <v>239</v>
      </c>
      <c r="E1788" s="6" t="s">
        <v>17</v>
      </c>
      <c r="F1788" s="6">
        <v>1</v>
      </c>
      <c r="G1788" s="6">
        <v>708</v>
      </c>
    </row>
    <row r="1789" s="2" customFormat="true" ht="22.5" customHeight="true" spans="1:7">
      <c r="A1789" s="6">
        <f>1787</f>
        <v>1787</v>
      </c>
      <c r="B1789" s="6" t="s">
        <v>1793</v>
      </c>
      <c r="C1789" s="6" t="s">
        <v>9</v>
      </c>
      <c r="D1789" s="6" t="s">
        <v>159</v>
      </c>
      <c r="E1789" s="6" t="s">
        <v>17</v>
      </c>
      <c r="F1789" s="6">
        <v>1</v>
      </c>
      <c r="G1789" s="6">
        <v>708</v>
      </c>
    </row>
    <row r="1790" s="2" customFormat="true" ht="22.5" customHeight="true" spans="1:7">
      <c r="A1790" s="6">
        <f>1788</f>
        <v>1788</v>
      </c>
      <c r="B1790" s="6" t="s">
        <v>1794</v>
      </c>
      <c r="C1790" s="6" t="s">
        <v>9</v>
      </c>
      <c r="D1790" s="6" t="s">
        <v>169</v>
      </c>
      <c r="E1790" s="6" t="s">
        <v>11</v>
      </c>
      <c r="F1790" s="6">
        <v>3</v>
      </c>
      <c r="G1790" s="6">
        <v>1744</v>
      </c>
    </row>
    <row r="1791" s="2" customFormat="true" ht="22.5" customHeight="true" spans="1:7">
      <c r="A1791" s="6">
        <f>1789</f>
        <v>1789</v>
      </c>
      <c r="B1791" s="6" t="s">
        <v>1795</v>
      </c>
      <c r="C1791" s="6" t="s">
        <v>9</v>
      </c>
      <c r="D1791" s="6" t="s">
        <v>169</v>
      </c>
      <c r="E1791" s="6" t="s">
        <v>17</v>
      </c>
      <c r="F1791" s="6">
        <v>4</v>
      </c>
      <c r="G1791" s="6">
        <v>2604</v>
      </c>
    </row>
    <row r="1792" s="2" customFormat="true" ht="22.5" customHeight="true" spans="1:7">
      <c r="A1792" s="6">
        <f>1790</f>
        <v>1790</v>
      </c>
      <c r="B1792" s="6" t="s">
        <v>1796</v>
      </c>
      <c r="C1792" s="6" t="s">
        <v>15</v>
      </c>
      <c r="D1792" s="6" t="s">
        <v>35</v>
      </c>
      <c r="E1792" s="6" t="s">
        <v>17</v>
      </c>
      <c r="F1792" s="6">
        <v>1</v>
      </c>
      <c r="G1792" s="6">
        <v>686</v>
      </c>
    </row>
    <row r="1793" s="2" customFormat="true" ht="22.5" customHeight="true" spans="1:7">
      <c r="A1793" s="6">
        <f>1791</f>
        <v>1791</v>
      </c>
      <c r="B1793" s="6" t="s">
        <v>1797</v>
      </c>
      <c r="C1793" s="6" t="s">
        <v>9</v>
      </c>
      <c r="D1793" s="6" t="s">
        <v>129</v>
      </c>
      <c r="E1793" s="6" t="s">
        <v>11</v>
      </c>
      <c r="F1793" s="6">
        <v>2</v>
      </c>
      <c r="G1793" s="6">
        <v>1162</v>
      </c>
    </row>
    <row r="1794" s="2" customFormat="true" ht="22.5" customHeight="true" spans="1:7">
      <c r="A1794" s="6">
        <f>1792</f>
        <v>1792</v>
      </c>
      <c r="B1794" s="6" t="s">
        <v>624</v>
      </c>
      <c r="C1794" s="6" t="s">
        <v>9</v>
      </c>
      <c r="D1794" s="6" t="s">
        <v>143</v>
      </c>
      <c r="E1794" s="6" t="s">
        <v>17</v>
      </c>
      <c r="F1794" s="6">
        <v>2</v>
      </c>
      <c r="G1794" s="6">
        <v>1340</v>
      </c>
    </row>
    <row r="1795" s="2" customFormat="true" ht="22.5" customHeight="true" spans="1:7">
      <c r="A1795" s="6">
        <f>1793</f>
        <v>1793</v>
      </c>
      <c r="B1795" s="6" t="s">
        <v>1798</v>
      </c>
      <c r="C1795" s="6" t="s">
        <v>15</v>
      </c>
      <c r="D1795" s="6" t="s">
        <v>167</v>
      </c>
      <c r="E1795" s="6" t="s">
        <v>11</v>
      </c>
      <c r="F1795" s="6">
        <v>2</v>
      </c>
      <c r="G1795" s="6">
        <v>1213</v>
      </c>
    </row>
    <row r="1796" s="2" customFormat="true" ht="22.5" customHeight="true" spans="1:7">
      <c r="A1796" s="6">
        <f>1794</f>
        <v>1794</v>
      </c>
      <c r="B1796" s="6" t="s">
        <v>1799</v>
      </c>
      <c r="C1796" s="6" t="s">
        <v>15</v>
      </c>
      <c r="D1796" s="6" t="s">
        <v>49</v>
      </c>
      <c r="E1796" s="6" t="s">
        <v>11</v>
      </c>
      <c r="F1796" s="6">
        <v>1</v>
      </c>
      <c r="G1796" s="6">
        <v>582</v>
      </c>
    </row>
    <row r="1797" s="2" customFormat="true" ht="22.5" customHeight="true" spans="1:7">
      <c r="A1797" s="6">
        <f>1795</f>
        <v>1795</v>
      </c>
      <c r="B1797" s="6" t="s">
        <v>1800</v>
      </c>
      <c r="C1797" s="6" t="s">
        <v>15</v>
      </c>
      <c r="D1797" s="6" t="s">
        <v>117</v>
      </c>
      <c r="E1797" s="6" t="s">
        <v>17</v>
      </c>
      <c r="F1797" s="6">
        <v>1</v>
      </c>
      <c r="G1797" s="6">
        <v>666</v>
      </c>
    </row>
    <row r="1798" s="2" customFormat="true" ht="22.5" customHeight="true" spans="1:7">
      <c r="A1798" s="6">
        <f>1796</f>
        <v>1796</v>
      </c>
      <c r="B1798" s="6" t="s">
        <v>1801</v>
      </c>
      <c r="C1798" s="6" t="s">
        <v>9</v>
      </c>
      <c r="D1798" s="6" t="s">
        <v>122</v>
      </c>
      <c r="E1798" s="6" t="s">
        <v>17</v>
      </c>
      <c r="F1798" s="6">
        <v>1</v>
      </c>
      <c r="G1798" s="6">
        <v>708</v>
      </c>
    </row>
    <row r="1799" s="2" customFormat="true" ht="22.5" customHeight="true" spans="1:7">
      <c r="A1799" s="6">
        <f>1797</f>
        <v>1797</v>
      </c>
      <c r="B1799" s="6" t="s">
        <v>1802</v>
      </c>
      <c r="C1799" s="6" t="s">
        <v>9</v>
      </c>
      <c r="D1799" s="6" t="s">
        <v>122</v>
      </c>
      <c r="E1799" s="6" t="s">
        <v>17</v>
      </c>
      <c r="F1799" s="6">
        <v>1</v>
      </c>
      <c r="G1799" s="6">
        <v>708</v>
      </c>
    </row>
    <row r="1800" s="2" customFormat="true" ht="22.5" customHeight="true" spans="1:7">
      <c r="A1800" s="6">
        <f>1798</f>
        <v>1798</v>
      </c>
      <c r="B1800" s="6" t="s">
        <v>1803</v>
      </c>
      <c r="C1800" s="6" t="s">
        <v>15</v>
      </c>
      <c r="D1800" s="6" t="s">
        <v>202</v>
      </c>
      <c r="E1800" s="6" t="s">
        <v>17</v>
      </c>
      <c r="F1800" s="6">
        <v>1</v>
      </c>
      <c r="G1800" s="6">
        <v>666</v>
      </c>
    </row>
    <row r="1801" s="2" customFormat="true" ht="22.5" customHeight="true" spans="1:7">
      <c r="A1801" s="6">
        <f>1799</f>
        <v>1799</v>
      </c>
      <c r="B1801" s="6" t="s">
        <v>1804</v>
      </c>
      <c r="C1801" s="6" t="s">
        <v>15</v>
      </c>
      <c r="D1801" s="6" t="s">
        <v>230</v>
      </c>
      <c r="E1801" s="6" t="s">
        <v>17</v>
      </c>
      <c r="F1801" s="6">
        <v>1</v>
      </c>
      <c r="G1801" s="6">
        <v>656</v>
      </c>
    </row>
    <row r="1802" s="2" customFormat="true" ht="22.5" customHeight="true" spans="1:7">
      <c r="A1802" s="6">
        <f>1800</f>
        <v>1800</v>
      </c>
      <c r="B1802" s="6" t="s">
        <v>1805</v>
      </c>
      <c r="C1802" s="6" t="s">
        <v>15</v>
      </c>
      <c r="D1802" s="6" t="s">
        <v>159</v>
      </c>
      <c r="E1802" s="6" t="s">
        <v>17</v>
      </c>
      <c r="F1802" s="6">
        <v>1</v>
      </c>
      <c r="G1802" s="6">
        <v>708</v>
      </c>
    </row>
    <row r="1803" s="2" customFormat="true" ht="22.5" customHeight="true" spans="1:7">
      <c r="A1803" s="6">
        <f>1801</f>
        <v>1801</v>
      </c>
      <c r="B1803" s="6" t="s">
        <v>1806</v>
      </c>
      <c r="C1803" s="6" t="s">
        <v>9</v>
      </c>
      <c r="D1803" s="6" t="s">
        <v>104</v>
      </c>
      <c r="E1803" s="6" t="s">
        <v>17</v>
      </c>
      <c r="F1803" s="6">
        <v>1</v>
      </c>
      <c r="G1803" s="6">
        <v>690</v>
      </c>
    </row>
    <row r="1804" s="2" customFormat="true" ht="22.5" customHeight="true" spans="1:7">
      <c r="A1804" s="6">
        <f>1802</f>
        <v>1802</v>
      </c>
      <c r="B1804" s="6" t="s">
        <v>1807</v>
      </c>
      <c r="C1804" s="6" t="s">
        <v>9</v>
      </c>
      <c r="D1804" s="6" t="s">
        <v>209</v>
      </c>
      <c r="E1804" s="6" t="s">
        <v>17</v>
      </c>
      <c r="F1804" s="6">
        <v>2</v>
      </c>
      <c r="G1804" s="6">
        <v>1132</v>
      </c>
    </row>
    <row r="1805" s="2" customFormat="true" ht="22.5" customHeight="true" spans="1:7">
      <c r="A1805" s="6">
        <f>1803</f>
        <v>1803</v>
      </c>
      <c r="B1805" s="6" t="s">
        <v>1808</v>
      </c>
      <c r="C1805" s="6" t="s">
        <v>9</v>
      </c>
      <c r="D1805" s="6" t="s">
        <v>143</v>
      </c>
      <c r="E1805" s="6" t="s">
        <v>17</v>
      </c>
      <c r="F1805" s="6">
        <v>3</v>
      </c>
      <c r="G1805" s="6">
        <v>1821</v>
      </c>
    </row>
    <row r="1806" s="2" customFormat="true" ht="22.5" customHeight="true" spans="1:7">
      <c r="A1806" s="6">
        <f>1804</f>
        <v>1804</v>
      </c>
      <c r="B1806" s="6" t="s">
        <v>1809</v>
      </c>
      <c r="C1806" s="6" t="s">
        <v>15</v>
      </c>
      <c r="D1806" s="6" t="s">
        <v>117</v>
      </c>
      <c r="E1806" s="6" t="s">
        <v>17</v>
      </c>
      <c r="F1806" s="6">
        <v>5</v>
      </c>
      <c r="G1806" s="6">
        <v>2684</v>
      </c>
    </row>
    <row r="1807" s="2" customFormat="true" ht="22.5" customHeight="true" spans="1:7">
      <c r="A1807" s="6">
        <f>1805</f>
        <v>1805</v>
      </c>
      <c r="B1807" s="6" t="s">
        <v>1810</v>
      </c>
      <c r="C1807" s="6" t="s">
        <v>15</v>
      </c>
      <c r="D1807" s="6" t="s">
        <v>122</v>
      </c>
      <c r="E1807" s="6" t="s">
        <v>17</v>
      </c>
      <c r="F1807" s="6">
        <v>1</v>
      </c>
      <c r="G1807" s="6">
        <v>708</v>
      </c>
    </row>
    <row r="1808" s="2" customFormat="true" ht="22.5" customHeight="true" spans="1:7">
      <c r="A1808" s="6">
        <f>1806</f>
        <v>1806</v>
      </c>
      <c r="B1808" s="6" t="s">
        <v>1811</v>
      </c>
      <c r="C1808" s="6" t="s">
        <v>15</v>
      </c>
      <c r="D1808" s="6" t="s">
        <v>169</v>
      </c>
      <c r="E1808" s="6" t="s">
        <v>17</v>
      </c>
      <c r="F1808" s="6">
        <v>1</v>
      </c>
      <c r="G1808" s="6">
        <v>708</v>
      </c>
    </row>
    <row r="1809" s="2" customFormat="true" ht="22.5" customHeight="true" spans="1:7">
      <c r="A1809" s="6">
        <f>1807</f>
        <v>1807</v>
      </c>
      <c r="B1809" s="6" t="s">
        <v>1812</v>
      </c>
      <c r="C1809" s="6" t="s">
        <v>15</v>
      </c>
      <c r="D1809" s="6" t="s">
        <v>117</v>
      </c>
      <c r="E1809" s="6" t="s">
        <v>17</v>
      </c>
      <c r="F1809" s="6">
        <v>1</v>
      </c>
      <c r="G1809" s="6">
        <v>666</v>
      </c>
    </row>
    <row r="1810" s="2" customFormat="true" ht="22.5" customHeight="true" spans="1:7">
      <c r="A1810" s="6">
        <f>1808</f>
        <v>1808</v>
      </c>
      <c r="B1810" s="6" t="s">
        <v>1813</v>
      </c>
      <c r="C1810" s="6" t="s">
        <v>15</v>
      </c>
      <c r="D1810" s="6" t="s">
        <v>192</v>
      </c>
      <c r="E1810" s="6" t="s">
        <v>17</v>
      </c>
      <c r="F1810" s="6">
        <v>1</v>
      </c>
      <c r="G1810" s="6">
        <v>690</v>
      </c>
    </row>
    <row r="1811" s="2" customFormat="true" ht="22.5" customHeight="true" spans="1:7">
      <c r="A1811" s="6">
        <f>1809</f>
        <v>1809</v>
      </c>
      <c r="B1811" s="6" t="s">
        <v>1814</v>
      </c>
      <c r="C1811" s="6" t="s">
        <v>9</v>
      </c>
      <c r="D1811" s="6" t="s">
        <v>117</v>
      </c>
      <c r="E1811" s="6" t="s">
        <v>17</v>
      </c>
      <c r="F1811" s="6">
        <v>2</v>
      </c>
      <c r="G1811" s="6">
        <v>1220</v>
      </c>
    </row>
    <row r="1812" s="2" customFormat="true" ht="22.5" customHeight="true" spans="1:7">
      <c r="A1812" s="6">
        <f>1810</f>
        <v>1810</v>
      </c>
      <c r="B1812" s="6" t="s">
        <v>1815</v>
      </c>
      <c r="C1812" s="6" t="s">
        <v>15</v>
      </c>
      <c r="D1812" s="6" t="s">
        <v>129</v>
      </c>
      <c r="E1812" s="6" t="s">
        <v>17</v>
      </c>
      <c r="F1812" s="6">
        <v>1</v>
      </c>
      <c r="G1812" s="6">
        <v>708</v>
      </c>
    </row>
    <row r="1813" s="2" customFormat="true" ht="22.5" customHeight="true" spans="1:7">
      <c r="A1813" s="6">
        <f>1811</f>
        <v>1811</v>
      </c>
      <c r="B1813" s="6" t="s">
        <v>1816</v>
      </c>
      <c r="C1813" s="6" t="s">
        <v>9</v>
      </c>
      <c r="D1813" s="6" t="s">
        <v>104</v>
      </c>
      <c r="E1813" s="6" t="s">
        <v>17</v>
      </c>
      <c r="F1813" s="6">
        <v>2</v>
      </c>
      <c r="G1813" s="6">
        <v>1284</v>
      </c>
    </row>
    <row r="1814" s="2" customFormat="true" ht="22.5" customHeight="true" spans="1:7">
      <c r="A1814" s="6">
        <f>1812</f>
        <v>1812</v>
      </c>
      <c r="B1814" s="6" t="s">
        <v>1817</v>
      </c>
      <c r="C1814" s="6" t="s">
        <v>9</v>
      </c>
      <c r="D1814" s="6" t="s">
        <v>133</v>
      </c>
      <c r="E1814" s="6" t="s">
        <v>17</v>
      </c>
      <c r="F1814" s="6">
        <v>3</v>
      </c>
      <c r="G1814" s="6">
        <v>1578</v>
      </c>
    </row>
    <row r="1815" s="2" customFormat="true" ht="22.5" customHeight="true" spans="1:7">
      <c r="A1815" s="6">
        <f>1813</f>
        <v>1813</v>
      </c>
      <c r="B1815" s="6" t="s">
        <v>1818</v>
      </c>
      <c r="C1815" s="6" t="s">
        <v>9</v>
      </c>
      <c r="D1815" s="6" t="s">
        <v>192</v>
      </c>
      <c r="E1815" s="6" t="s">
        <v>17</v>
      </c>
      <c r="F1815" s="6">
        <v>2</v>
      </c>
      <c r="G1815" s="6">
        <v>1380</v>
      </c>
    </row>
    <row r="1816" s="2" customFormat="true" ht="22.5" customHeight="true" spans="1:7">
      <c r="A1816" s="6">
        <f>1814</f>
        <v>1814</v>
      </c>
      <c r="B1816" s="6" t="s">
        <v>1819</v>
      </c>
      <c r="C1816" s="6" t="s">
        <v>9</v>
      </c>
      <c r="D1816" s="6" t="s">
        <v>146</v>
      </c>
      <c r="E1816" s="6" t="s">
        <v>17</v>
      </c>
      <c r="F1816" s="6">
        <v>1</v>
      </c>
      <c r="G1816" s="6">
        <v>758</v>
      </c>
    </row>
    <row r="1817" s="2" customFormat="true" ht="22.5" customHeight="true" spans="1:7">
      <c r="A1817" s="6">
        <f>1815</f>
        <v>1815</v>
      </c>
      <c r="B1817" s="6" t="s">
        <v>1820</v>
      </c>
      <c r="C1817" s="6" t="s">
        <v>9</v>
      </c>
      <c r="D1817" s="6" t="s">
        <v>27</v>
      </c>
      <c r="E1817" s="6" t="s">
        <v>17</v>
      </c>
      <c r="F1817" s="6">
        <v>1</v>
      </c>
      <c r="G1817" s="6">
        <v>656</v>
      </c>
    </row>
    <row r="1818" s="2" customFormat="true" ht="22.5" customHeight="true" spans="1:7">
      <c r="A1818" s="6">
        <f>1816</f>
        <v>1816</v>
      </c>
      <c r="B1818" s="6" t="s">
        <v>1821</v>
      </c>
      <c r="C1818" s="6" t="s">
        <v>9</v>
      </c>
      <c r="D1818" s="6" t="s">
        <v>10</v>
      </c>
      <c r="E1818" s="6" t="s">
        <v>17</v>
      </c>
      <c r="F1818" s="6">
        <v>1</v>
      </c>
      <c r="G1818" s="6">
        <v>706</v>
      </c>
    </row>
    <row r="1819" s="2" customFormat="true" ht="22.5" customHeight="true" spans="1:7">
      <c r="A1819" s="6">
        <f>1817</f>
        <v>1817</v>
      </c>
      <c r="B1819" s="6" t="s">
        <v>1822</v>
      </c>
      <c r="C1819" s="6" t="s">
        <v>15</v>
      </c>
      <c r="D1819" s="6" t="s">
        <v>19</v>
      </c>
      <c r="E1819" s="6" t="s">
        <v>17</v>
      </c>
      <c r="F1819" s="6">
        <v>1</v>
      </c>
      <c r="G1819" s="6">
        <v>686</v>
      </c>
    </row>
    <row r="1820" s="2" customFormat="true" ht="22.5" customHeight="true" spans="1:7">
      <c r="A1820" s="6">
        <f>1818</f>
        <v>1818</v>
      </c>
      <c r="B1820" s="6" t="s">
        <v>1823</v>
      </c>
      <c r="C1820" s="6" t="s">
        <v>15</v>
      </c>
      <c r="D1820" s="6" t="s">
        <v>185</v>
      </c>
      <c r="E1820" s="6" t="s">
        <v>17</v>
      </c>
      <c r="F1820" s="6">
        <v>1</v>
      </c>
      <c r="G1820" s="6">
        <v>690</v>
      </c>
    </row>
    <row r="1821" s="2" customFormat="true" ht="22.5" customHeight="true" spans="1:7">
      <c r="A1821" s="6">
        <f>1819</f>
        <v>1819</v>
      </c>
      <c r="B1821" s="6" t="s">
        <v>1824</v>
      </c>
      <c r="C1821" s="6" t="s">
        <v>15</v>
      </c>
      <c r="D1821" s="6" t="s">
        <v>67</v>
      </c>
      <c r="E1821" s="6" t="s">
        <v>11</v>
      </c>
      <c r="F1821" s="6">
        <v>1</v>
      </c>
      <c r="G1821" s="6">
        <v>597</v>
      </c>
    </row>
    <row r="1822" s="2" customFormat="true" ht="22.5" customHeight="true" spans="1:7">
      <c r="A1822" s="6">
        <f>1820</f>
        <v>1820</v>
      </c>
      <c r="B1822" s="6" t="s">
        <v>1825</v>
      </c>
      <c r="C1822" s="6" t="s">
        <v>15</v>
      </c>
      <c r="D1822" s="6" t="s">
        <v>188</v>
      </c>
      <c r="E1822" s="6" t="s">
        <v>17</v>
      </c>
      <c r="F1822" s="6">
        <v>1</v>
      </c>
      <c r="G1822" s="6">
        <v>758</v>
      </c>
    </row>
    <row r="1823" s="2" customFormat="true" ht="22.5" customHeight="true" spans="1:7">
      <c r="A1823" s="6">
        <f>1821</f>
        <v>1821</v>
      </c>
      <c r="B1823" s="6" t="s">
        <v>1826</v>
      </c>
      <c r="C1823" s="6" t="s">
        <v>9</v>
      </c>
      <c r="D1823" s="6" t="s">
        <v>138</v>
      </c>
      <c r="E1823" s="6" t="s">
        <v>11</v>
      </c>
      <c r="F1823" s="6">
        <v>1</v>
      </c>
      <c r="G1823" s="6">
        <v>597</v>
      </c>
    </row>
    <row r="1824" s="2" customFormat="true" ht="22.5" customHeight="true" spans="1:7">
      <c r="A1824" s="6">
        <f>1822</f>
        <v>1822</v>
      </c>
      <c r="B1824" s="6" t="s">
        <v>1827</v>
      </c>
      <c r="C1824" s="6" t="s">
        <v>15</v>
      </c>
      <c r="D1824" s="6" t="s">
        <v>67</v>
      </c>
      <c r="E1824" s="6" t="s">
        <v>11</v>
      </c>
      <c r="F1824" s="6">
        <v>1</v>
      </c>
      <c r="G1824" s="6">
        <v>597</v>
      </c>
    </row>
    <row r="1825" s="2" customFormat="true" ht="22.5" customHeight="true" spans="1:7">
      <c r="A1825" s="6">
        <f>1823</f>
        <v>1823</v>
      </c>
      <c r="B1825" s="6" t="s">
        <v>1828</v>
      </c>
      <c r="C1825" s="6" t="s">
        <v>9</v>
      </c>
      <c r="D1825" s="6" t="s">
        <v>13</v>
      </c>
      <c r="E1825" s="6" t="s">
        <v>11</v>
      </c>
      <c r="F1825" s="6">
        <v>1</v>
      </c>
      <c r="G1825" s="6">
        <v>597</v>
      </c>
    </row>
    <row r="1826" s="2" customFormat="true" ht="22.5" customHeight="true" spans="1:7">
      <c r="A1826" s="6">
        <f>1824</f>
        <v>1824</v>
      </c>
      <c r="B1826" s="6" t="s">
        <v>1829</v>
      </c>
      <c r="C1826" s="6" t="s">
        <v>15</v>
      </c>
      <c r="D1826" s="6" t="s">
        <v>133</v>
      </c>
      <c r="E1826" s="6" t="s">
        <v>11</v>
      </c>
      <c r="F1826" s="6">
        <v>1</v>
      </c>
      <c r="G1826" s="6">
        <v>632</v>
      </c>
    </row>
    <row r="1827" s="2" customFormat="true" ht="22.5" customHeight="true" spans="1:7">
      <c r="A1827" s="6">
        <f>1825</f>
        <v>1825</v>
      </c>
      <c r="B1827" s="6" t="s">
        <v>1830</v>
      </c>
      <c r="C1827" s="6" t="s">
        <v>15</v>
      </c>
      <c r="D1827" s="6" t="s">
        <v>230</v>
      </c>
      <c r="E1827" s="6" t="s">
        <v>11</v>
      </c>
      <c r="F1827" s="6">
        <v>1</v>
      </c>
      <c r="G1827" s="6">
        <v>597</v>
      </c>
    </row>
    <row r="1828" s="2" customFormat="true" ht="22.5" customHeight="true" spans="1:7">
      <c r="A1828" s="6">
        <f>1826</f>
        <v>1826</v>
      </c>
      <c r="B1828" s="6" t="s">
        <v>1831</v>
      </c>
      <c r="C1828" s="6" t="s">
        <v>9</v>
      </c>
      <c r="D1828" s="6" t="s">
        <v>167</v>
      </c>
      <c r="E1828" s="6" t="s">
        <v>17</v>
      </c>
      <c r="F1828" s="6">
        <v>2</v>
      </c>
      <c r="G1828" s="6">
        <v>1178</v>
      </c>
    </row>
    <row r="1829" s="2" customFormat="true" ht="22.5" customHeight="true" spans="1:7">
      <c r="A1829" s="6">
        <f>1827</f>
        <v>1827</v>
      </c>
      <c r="B1829" s="6" t="s">
        <v>1832</v>
      </c>
      <c r="C1829" s="6" t="s">
        <v>9</v>
      </c>
      <c r="D1829" s="6" t="s">
        <v>188</v>
      </c>
      <c r="E1829" s="6" t="s">
        <v>17</v>
      </c>
      <c r="F1829" s="6">
        <v>1</v>
      </c>
      <c r="G1829" s="6">
        <v>708</v>
      </c>
    </row>
    <row r="1830" s="2" customFormat="true" ht="22.5" customHeight="true" spans="1:7">
      <c r="A1830" s="6">
        <f>1828</f>
        <v>1828</v>
      </c>
      <c r="B1830" s="6" t="s">
        <v>1833</v>
      </c>
      <c r="C1830" s="6" t="s">
        <v>9</v>
      </c>
      <c r="D1830" s="6" t="s">
        <v>180</v>
      </c>
      <c r="E1830" s="6" t="s">
        <v>17</v>
      </c>
      <c r="F1830" s="6">
        <v>1</v>
      </c>
      <c r="G1830" s="6">
        <v>658</v>
      </c>
    </row>
    <row r="1831" s="2" customFormat="true" ht="22.5" customHeight="true" spans="1:7">
      <c r="A1831" s="6">
        <f>1829</f>
        <v>1829</v>
      </c>
      <c r="B1831" s="6" t="s">
        <v>1834</v>
      </c>
      <c r="C1831" s="6" t="s">
        <v>9</v>
      </c>
      <c r="D1831" s="6" t="s">
        <v>117</v>
      </c>
      <c r="E1831" s="6" t="s">
        <v>17</v>
      </c>
      <c r="F1831" s="6">
        <v>2</v>
      </c>
      <c r="G1831" s="6">
        <v>1200</v>
      </c>
    </row>
    <row r="1832" s="2" customFormat="true" ht="22.5" customHeight="true" spans="1:7">
      <c r="A1832" s="6">
        <f>1830</f>
        <v>1830</v>
      </c>
      <c r="B1832" s="6" t="s">
        <v>1835</v>
      </c>
      <c r="C1832" s="6" t="s">
        <v>9</v>
      </c>
      <c r="D1832" s="6" t="s">
        <v>146</v>
      </c>
      <c r="E1832" s="6" t="s">
        <v>11</v>
      </c>
      <c r="F1832" s="6">
        <v>2</v>
      </c>
      <c r="G1832" s="6">
        <v>1264</v>
      </c>
    </row>
    <row r="1833" s="2" customFormat="true" ht="22.5" customHeight="true" spans="1:7">
      <c r="A1833" s="6">
        <f>1831</f>
        <v>1831</v>
      </c>
      <c r="B1833" s="6" t="s">
        <v>1836</v>
      </c>
      <c r="C1833" s="6" t="s">
        <v>15</v>
      </c>
      <c r="D1833" s="6" t="s">
        <v>230</v>
      </c>
      <c r="E1833" s="6" t="s">
        <v>17</v>
      </c>
      <c r="F1833" s="6">
        <v>1</v>
      </c>
      <c r="G1833" s="6">
        <v>656</v>
      </c>
    </row>
    <row r="1834" s="2" customFormat="true" ht="22.5" customHeight="true" spans="1:7">
      <c r="A1834" s="6">
        <f>1832</f>
        <v>1832</v>
      </c>
      <c r="B1834" s="6" t="s">
        <v>1837</v>
      </c>
      <c r="C1834" s="6" t="s">
        <v>9</v>
      </c>
      <c r="D1834" s="6" t="s">
        <v>230</v>
      </c>
      <c r="E1834" s="6" t="s">
        <v>17</v>
      </c>
      <c r="F1834" s="6">
        <v>1</v>
      </c>
      <c r="G1834" s="6">
        <v>656</v>
      </c>
    </row>
    <row r="1835" s="2" customFormat="true" ht="22.5" customHeight="true" spans="1:7">
      <c r="A1835" s="6">
        <f>1833</f>
        <v>1833</v>
      </c>
      <c r="B1835" s="6" t="s">
        <v>1838</v>
      </c>
      <c r="C1835" s="6" t="s">
        <v>9</v>
      </c>
      <c r="D1835" s="6" t="s">
        <v>117</v>
      </c>
      <c r="E1835" s="6" t="s">
        <v>17</v>
      </c>
      <c r="F1835" s="6">
        <v>3</v>
      </c>
      <c r="G1835" s="6">
        <v>1520</v>
      </c>
    </row>
    <row r="1836" s="2" customFormat="true" ht="22.5" customHeight="true" spans="1:7">
      <c r="A1836" s="6">
        <f>1834</f>
        <v>1834</v>
      </c>
      <c r="B1836" s="6" t="s">
        <v>1839</v>
      </c>
      <c r="C1836" s="6" t="s">
        <v>9</v>
      </c>
      <c r="D1836" s="6" t="s">
        <v>13</v>
      </c>
      <c r="E1836" s="6" t="s">
        <v>17</v>
      </c>
      <c r="F1836" s="6">
        <v>1</v>
      </c>
      <c r="G1836" s="6">
        <v>686</v>
      </c>
    </row>
    <row r="1837" s="2" customFormat="true" ht="22.5" customHeight="true" spans="1:7">
      <c r="A1837" s="6">
        <f>1835</f>
        <v>1835</v>
      </c>
      <c r="B1837" s="6" t="s">
        <v>1840</v>
      </c>
      <c r="C1837" s="6" t="s">
        <v>15</v>
      </c>
      <c r="D1837" s="6" t="s">
        <v>167</v>
      </c>
      <c r="E1837" s="6" t="s">
        <v>17</v>
      </c>
      <c r="F1837" s="6">
        <v>1</v>
      </c>
      <c r="G1837" s="6">
        <v>708</v>
      </c>
    </row>
    <row r="1838" s="2" customFormat="true" ht="22.5" customHeight="true" spans="1:7">
      <c r="A1838" s="6">
        <f>1836</f>
        <v>1836</v>
      </c>
      <c r="B1838" s="6" t="s">
        <v>1841</v>
      </c>
      <c r="C1838" s="6" t="s">
        <v>9</v>
      </c>
      <c r="D1838" s="6" t="s">
        <v>138</v>
      </c>
      <c r="E1838" s="6" t="s">
        <v>17</v>
      </c>
      <c r="F1838" s="6">
        <v>2</v>
      </c>
      <c r="G1838" s="6">
        <v>1187</v>
      </c>
    </row>
    <row r="1839" s="2" customFormat="true" ht="22.5" customHeight="true" spans="1:7">
      <c r="A1839" s="6">
        <f>1837</f>
        <v>1837</v>
      </c>
      <c r="B1839" s="6" t="s">
        <v>1842</v>
      </c>
      <c r="C1839" s="6" t="s">
        <v>9</v>
      </c>
      <c r="D1839" s="6" t="s">
        <v>239</v>
      </c>
      <c r="E1839" s="6" t="s">
        <v>17</v>
      </c>
      <c r="F1839" s="6">
        <v>1</v>
      </c>
      <c r="G1839" s="6">
        <v>708</v>
      </c>
    </row>
    <row r="1840" s="2" customFormat="true" ht="22.5" customHeight="true" spans="1:7">
      <c r="A1840" s="6">
        <f>1838</f>
        <v>1838</v>
      </c>
      <c r="B1840" s="6" t="s">
        <v>1620</v>
      </c>
      <c r="C1840" s="6" t="s">
        <v>9</v>
      </c>
      <c r="D1840" s="6" t="s">
        <v>270</v>
      </c>
      <c r="E1840" s="6" t="s">
        <v>17</v>
      </c>
      <c r="F1840" s="6">
        <v>1</v>
      </c>
      <c r="G1840" s="6">
        <v>708</v>
      </c>
    </row>
    <row r="1841" s="2" customFormat="true" ht="22.5" customHeight="true" spans="1:7">
      <c r="A1841" s="6">
        <f>1839</f>
        <v>1839</v>
      </c>
      <c r="B1841" s="6" t="s">
        <v>1843</v>
      </c>
      <c r="C1841" s="6" t="s">
        <v>9</v>
      </c>
      <c r="D1841" s="6" t="s">
        <v>161</v>
      </c>
      <c r="E1841" s="6" t="s">
        <v>17</v>
      </c>
      <c r="F1841" s="6">
        <v>1</v>
      </c>
      <c r="G1841" s="6">
        <v>758</v>
      </c>
    </row>
    <row r="1842" s="2" customFormat="true" ht="22.5" customHeight="true" spans="1:7">
      <c r="A1842" s="6">
        <f>1840</f>
        <v>1840</v>
      </c>
      <c r="B1842" s="6" t="s">
        <v>1844</v>
      </c>
      <c r="C1842" s="6" t="s">
        <v>9</v>
      </c>
      <c r="D1842" s="6" t="s">
        <v>222</v>
      </c>
      <c r="E1842" s="6" t="s">
        <v>11</v>
      </c>
      <c r="F1842" s="6">
        <v>2</v>
      </c>
      <c r="G1842" s="6">
        <v>1113</v>
      </c>
    </row>
    <row r="1843" s="2" customFormat="true" ht="22.5" customHeight="true" spans="1:7">
      <c r="A1843" s="6">
        <f>1841</f>
        <v>1841</v>
      </c>
      <c r="B1843" s="6" t="s">
        <v>1845</v>
      </c>
      <c r="C1843" s="6" t="s">
        <v>9</v>
      </c>
      <c r="D1843" s="6" t="s">
        <v>159</v>
      </c>
      <c r="E1843" s="6" t="s">
        <v>17</v>
      </c>
      <c r="F1843" s="6">
        <v>4</v>
      </c>
      <c r="G1843" s="6">
        <v>2453</v>
      </c>
    </row>
    <row r="1844" s="2" customFormat="true" ht="22.5" customHeight="true" spans="1:7">
      <c r="A1844" s="6">
        <f>1842</f>
        <v>1842</v>
      </c>
      <c r="B1844" s="6" t="s">
        <v>1846</v>
      </c>
      <c r="C1844" s="6" t="s">
        <v>9</v>
      </c>
      <c r="D1844" s="6" t="s">
        <v>35</v>
      </c>
      <c r="E1844" s="6" t="s">
        <v>17</v>
      </c>
      <c r="F1844" s="6">
        <v>3</v>
      </c>
      <c r="G1844" s="6">
        <v>1772</v>
      </c>
    </row>
    <row r="1845" s="2" customFormat="true" ht="22.5" customHeight="true" spans="1:7">
      <c r="A1845" s="6">
        <f>1843</f>
        <v>1843</v>
      </c>
      <c r="B1845" s="6" t="s">
        <v>1847</v>
      </c>
      <c r="C1845" s="6" t="s">
        <v>15</v>
      </c>
      <c r="D1845" s="6" t="s">
        <v>202</v>
      </c>
      <c r="E1845" s="6" t="s">
        <v>17</v>
      </c>
      <c r="F1845" s="6">
        <v>2</v>
      </c>
      <c r="G1845" s="6">
        <v>1360</v>
      </c>
    </row>
    <row r="1846" s="2" customFormat="true" ht="22.5" customHeight="true" spans="1:7">
      <c r="A1846" s="6">
        <f>1844</f>
        <v>1844</v>
      </c>
      <c r="B1846" s="6" t="s">
        <v>1848</v>
      </c>
      <c r="C1846" s="6" t="s">
        <v>9</v>
      </c>
      <c r="D1846" s="6" t="s">
        <v>260</v>
      </c>
      <c r="E1846" s="6" t="s">
        <v>17</v>
      </c>
      <c r="F1846" s="6">
        <v>1</v>
      </c>
      <c r="G1846" s="6">
        <v>708</v>
      </c>
    </row>
    <row r="1847" s="2" customFormat="true" ht="22.5" customHeight="true" spans="1:7">
      <c r="A1847" s="6">
        <f>1845</f>
        <v>1845</v>
      </c>
      <c r="B1847" s="6" t="s">
        <v>1849</v>
      </c>
      <c r="C1847" s="6" t="s">
        <v>15</v>
      </c>
      <c r="D1847" s="6" t="s">
        <v>138</v>
      </c>
      <c r="E1847" s="6" t="s">
        <v>11</v>
      </c>
      <c r="F1847" s="6">
        <v>1</v>
      </c>
      <c r="G1847" s="6">
        <v>597</v>
      </c>
    </row>
    <row r="1848" s="2" customFormat="true" ht="22.5" customHeight="true" spans="1:7">
      <c r="A1848" s="6">
        <f>1846</f>
        <v>1846</v>
      </c>
      <c r="B1848" s="6" t="s">
        <v>1850</v>
      </c>
      <c r="C1848" s="6" t="s">
        <v>15</v>
      </c>
      <c r="D1848" s="6" t="s">
        <v>169</v>
      </c>
      <c r="E1848" s="6" t="s">
        <v>17</v>
      </c>
      <c r="F1848" s="6">
        <v>1</v>
      </c>
      <c r="G1848" s="6">
        <v>708</v>
      </c>
    </row>
    <row r="1849" s="2" customFormat="true" ht="22.5" customHeight="true" spans="1:7">
      <c r="A1849" s="6">
        <f>1847</f>
        <v>1847</v>
      </c>
      <c r="B1849" s="6" t="s">
        <v>1851</v>
      </c>
      <c r="C1849" s="6" t="s">
        <v>9</v>
      </c>
      <c r="D1849" s="6" t="s">
        <v>239</v>
      </c>
      <c r="E1849" s="6" t="s">
        <v>11</v>
      </c>
      <c r="F1849" s="6">
        <v>1</v>
      </c>
      <c r="G1849" s="6">
        <v>632</v>
      </c>
    </row>
    <row r="1850" s="2" customFormat="true" ht="22.5" customHeight="true" spans="1:7">
      <c r="A1850" s="6">
        <f>1848</f>
        <v>1848</v>
      </c>
      <c r="B1850" s="6" t="s">
        <v>1852</v>
      </c>
      <c r="C1850" s="6" t="s">
        <v>9</v>
      </c>
      <c r="D1850" s="6" t="s">
        <v>167</v>
      </c>
      <c r="E1850" s="6" t="s">
        <v>11</v>
      </c>
      <c r="F1850" s="6">
        <v>2</v>
      </c>
      <c r="G1850" s="6">
        <v>1264</v>
      </c>
    </row>
    <row r="1851" s="2" customFormat="true" ht="22.5" customHeight="true" spans="1:7">
      <c r="A1851" s="6">
        <f>1849</f>
        <v>1849</v>
      </c>
      <c r="B1851" s="6" t="s">
        <v>1853</v>
      </c>
      <c r="C1851" s="6" t="s">
        <v>9</v>
      </c>
      <c r="D1851" s="6" t="s">
        <v>104</v>
      </c>
      <c r="E1851" s="6" t="s">
        <v>17</v>
      </c>
      <c r="F1851" s="6">
        <v>1</v>
      </c>
      <c r="G1851" s="6">
        <v>740</v>
      </c>
    </row>
    <row r="1852" s="2" customFormat="true" ht="22.5" customHeight="true" spans="1:7">
      <c r="A1852" s="6">
        <f>1850</f>
        <v>1850</v>
      </c>
      <c r="B1852" s="6" t="s">
        <v>1854</v>
      </c>
      <c r="C1852" s="6" t="s">
        <v>15</v>
      </c>
      <c r="D1852" s="6" t="s">
        <v>185</v>
      </c>
      <c r="E1852" s="6" t="s">
        <v>17</v>
      </c>
      <c r="F1852" s="6">
        <v>1</v>
      </c>
      <c r="G1852" s="6">
        <v>740</v>
      </c>
    </row>
    <row r="1853" s="2" customFormat="true" ht="22.5" customHeight="true" spans="1:7">
      <c r="A1853" s="6">
        <f>1851</f>
        <v>1851</v>
      </c>
      <c r="B1853" s="6" t="s">
        <v>1855</v>
      </c>
      <c r="C1853" s="6" t="s">
        <v>9</v>
      </c>
      <c r="D1853" s="6" t="s">
        <v>49</v>
      </c>
      <c r="E1853" s="6" t="s">
        <v>17</v>
      </c>
      <c r="F1853" s="6">
        <v>1</v>
      </c>
      <c r="G1853" s="6">
        <v>706</v>
      </c>
    </row>
    <row r="1854" s="2" customFormat="true" ht="22.5" customHeight="true" spans="1:7">
      <c r="A1854" s="6">
        <f>1852</f>
        <v>1852</v>
      </c>
      <c r="B1854" s="6" t="s">
        <v>1856</v>
      </c>
      <c r="C1854" s="6" t="s">
        <v>15</v>
      </c>
      <c r="D1854" s="6" t="s">
        <v>146</v>
      </c>
      <c r="E1854" s="6" t="s">
        <v>17</v>
      </c>
      <c r="F1854" s="6">
        <v>1</v>
      </c>
      <c r="G1854" s="6">
        <v>667</v>
      </c>
    </row>
    <row r="1855" s="2" customFormat="true" ht="22.5" customHeight="true" spans="1:7">
      <c r="A1855" s="6">
        <f>1853</f>
        <v>1853</v>
      </c>
      <c r="B1855" s="6" t="s">
        <v>1857</v>
      </c>
      <c r="C1855" s="6" t="s">
        <v>15</v>
      </c>
      <c r="D1855" s="6" t="s">
        <v>164</v>
      </c>
      <c r="E1855" s="6" t="s">
        <v>17</v>
      </c>
      <c r="F1855" s="6">
        <v>4</v>
      </c>
      <c r="G1855" s="6">
        <v>2129</v>
      </c>
    </row>
    <row r="1856" s="2" customFormat="true" ht="22.5" customHeight="true" spans="1:7">
      <c r="A1856" s="6">
        <f>1854</f>
        <v>1854</v>
      </c>
      <c r="B1856" s="6" t="s">
        <v>1858</v>
      </c>
      <c r="C1856" s="6" t="s">
        <v>9</v>
      </c>
      <c r="D1856" s="6" t="s">
        <v>169</v>
      </c>
      <c r="E1856" s="6" t="s">
        <v>17</v>
      </c>
      <c r="F1856" s="6">
        <v>3</v>
      </c>
      <c r="G1856" s="6">
        <v>1821</v>
      </c>
    </row>
    <row r="1857" s="2" customFormat="true" ht="22.5" customHeight="true" spans="1:7">
      <c r="A1857" s="6">
        <f>1855</f>
        <v>1855</v>
      </c>
      <c r="B1857" s="6" t="s">
        <v>1859</v>
      </c>
      <c r="C1857" s="6" t="s">
        <v>9</v>
      </c>
      <c r="D1857" s="6" t="s">
        <v>13</v>
      </c>
      <c r="E1857" s="6" t="s">
        <v>17</v>
      </c>
      <c r="F1857" s="6">
        <v>3</v>
      </c>
      <c r="G1857" s="6">
        <v>1822</v>
      </c>
    </row>
    <row r="1858" s="2" customFormat="true" ht="22.5" customHeight="true" spans="1:7">
      <c r="A1858" s="6">
        <f>1856</f>
        <v>1856</v>
      </c>
      <c r="B1858" s="6" t="s">
        <v>1860</v>
      </c>
      <c r="C1858" s="6" t="s">
        <v>15</v>
      </c>
      <c r="D1858" s="6" t="s">
        <v>146</v>
      </c>
      <c r="E1858" s="6" t="s">
        <v>17</v>
      </c>
      <c r="F1858" s="6">
        <v>1</v>
      </c>
      <c r="G1858" s="6">
        <v>708</v>
      </c>
    </row>
    <row r="1859" s="2" customFormat="true" ht="22.5" customHeight="true" spans="1:7">
      <c r="A1859" s="6">
        <f>1857</f>
        <v>1857</v>
      </c>
      <c r="B1859" s="6" t="s">
        <v>1861</v>
      </c>
      <c r="C1859" s="6" t="s">
        <v>15</v>
      </c>
      <c r="D1859" s="6" t="s">
        <v>143</v>
      </c>
      <c r="E1859" s="6" t="s">
        <v>17</v>
      </c>
      <c r="F1859" s="6">
        <v>1</v>
      </c>
      <c r="G1859" s="6">
        <v>708</v>
      </c>
    </row>
    <row r="1860" s="2" customFormat="true" ht="22.5" customHeight="true" spans="1:7">
      <c r="A1860" s="6">
        <f>1858</f>
        <v>1858</v>
      </c>
      <c r="B1860" s="6" t="s">
        <v>1862</v>
      </c>
      <c r="C1860" s="6" t="s">
        <v>15</v>
      </c>
      <c r="D1860" s="6" t="s">
        <v>104</v>
      </c>
      <c r="E1860" s="6" t="s">
        <v>17</v>
      </c>
      <c r="F1860" s="6">
        <v>3</v>
      </c>
      <c r="G1860" s="6">
        <v>1878</v>
      </c>
    </row>
    <row r="1861" s="2" customFormat="true" ht="22.5" customHeight="true" spans="1:7">
      <c r="A1861" s="6">
        <f>1859</f>
        <v>1859</v>
      </c>
      <c r="B1861" s="6" t="s">
        <v>1863</v>
      </c>
      <c r="C1861" s="6" t="s">
        <v>15</v>
      </c>
      <c r="D1861" s="6" t="s">
        <v>10</v>
      </c>
      <c r="E1861" s="6" t="s">
        <v>17</v>
      </c>
      <c r="F1861" s="6">
        <v>1</v>
      </c>
      <c r="G1861" s="6">
        <v>706</v>
      </c>
    </row>
    <row r="1862" s="2" customFormat="true" ht="22.5" customHeight="true" spans="1:7">
      <c r="A1862" s="6">
        <f>1860</f>
        <v>1860</v>
      </c>
      <c r="B1862" s="6" t="s">
        <v>1864</v>
      </c>
      <c r="C1862" s="6" t="s">
        <v>15</v>
      </c>
      <c r="D1862" s="6" t="s">
        <v>49</v>
      </c>
      <c r="E1862" s="6" t="s">
        <v>11</v>
      </c>
      <c r="F1862" s="6">
        <v>3</v>
      </c>
      <c r="G1862" s="6">
        <v>1791</v>
      </c>
    </row>
    <row r="1863" s="2" customFormat="true" ht="22.5" customHeight="true" spans="1:7">
      <c r="A1863" s="6">
        <f>1861</f>
        <v>1861</v>
      </c>
      <c r="B1863" s="6" t="s">
        <v>1865</v>
      </c>
      <c r="C1863" s="6" t="s">
        <v>9</v>
      </c>
      <c r="D1863" s="6" t="s">
        <v>104</v>
      </c>
      <c r="E1863" s="6" t="s">
        <v>17</v>
      </c>
      <c r="F1863" s="6">
        <v>2</v>
      </c>
      <c r="G1863" s="6">
        <v>1284</v>
      </c>
    </row>
    <row r="1864" s="2" customFormat="true" ht="22.5" customHeight="true" spans="1:7">
      <c r="A1864" s="6">
        <f>1862</f>
        <v>1862</v>
      </c>
      <c r="B1864" s="6" t="s">
        <v>1866</v>
      </c>
      <c r="C1864" s="6" t="s">
        <v>9</v>
      </c>
      <c r="D1864" s="6" t="s">
        <v>230</v>
      </c>
      <c r="E1864" s="6" t="s">
        <v>17</v>
      </c>
      <c r="F1864" s="6">
        <v>1</v>
      </c>
      <c r="G1864" s="6">
        <v>706</v>
      </c>
    </row>
    <row r="1865" s="2" customFormat="true" ht="22.5" customHeight="true" spans="1:7">
      <c r="A1865" s="6">
        <f>1863</f>
        <v>1863</v>
      </c>
      <c r="B1865" s="6" t="s">
        <v>1867</v>
      </c>
      <c r="C1865" s="6" t="s">
        <v>9</v>
      </c>
      <c r="D1865" s="6" t="s">
        <v>49</v>
      </c>
      <c r="E1865" s="6" t="s">
        <v>11</v>
      </c>
      <c r="F1865" s="6">
        <v>1</v>
      </c>
      <c r="G1865" s="6">
        <v>597</v>
      </c>
    </row>
    <row r="1866" s="2" customFormat="true" ht="22.5" customHeight="true" spans="1:7">
      <c r="A1866" s="6">
        <f>1864</f>
        <v>1864</v>
      </c>
      <c r="B1866" s="6" t="s">
        <v>1868</v>
      </c>
      <c r="C1866" s="6" t="s">
        <v>9</v>
      </c>
      <c r="D1866" s="6" t="s">
        <v>49</v>
      </c>
      <c r="E1866" s="6" t="s">
        <v>11</v>
      </c>
      <c r="F1866" s="6">
        <v>1</v>
      </c>
      <c r="G1866" s="6">
        <v>597</v>
      </c>
    </row>
    <row r="1867" s="2" customFormat="true" ht="22.5" customHeight="true" spans="1:7">
      <c r="A1867" s="6">
        <f>1865</f>
        <v>1865</v>
      </c>
      <c r="B1867" s="6" t="s">
        <v>1869</v>
      </c>
      <c r="C1867" s="6" t="s">
        <v>9</v>
      </c>
      <c r="D1867" s="6" t="s">
        <v>143</v>
      </c>
      <c r="E1867" s="6" t="s">
        <v>11</v>
      </c>
      <c r="F1867" s="6">
        <v>1</v>
      </c>
      <c r="G1867" s="6">
        <v>602</v>
      </c>
    </row>
    <row r="1868" s="2" customFormat="true" ht="22.5" customHeight="true" spans="1:7">
      <c r="A1868" s="6">
        <f>1866</f>
        <v>1866</v>
      </c>
      <c r="B1868" s="6" t="s">
        <v>1870</v>
      </c>
      <c r="C1868" s="6" t="s">
        <v>15</v>
      </c>
      <c r="D1868" s="6" t="s">
        <v>124</v>
      </c>
      <c r="E1868" s="6" t="s">
        <v>11</v>
      </c>
      <c r="F1868" s="6">
        <v>1</v>
      </c>
      <c r="G1868" s="6">
        <v>732</v>
      </c>
    </row>
    <row r="1869" s="2" customFormat="true" ht="22.5" customHeight="true" spans="1:7">
      <c r="A1869" s="6">
        <f>1867</f>
        <v>1867</v>
      </c>
      <c r="B1869" s="6" t="s">
        <v>1871</v>
      </c>
      <c r="C1869" s="6" t="s">
        <v>15</v>
      </c>
      <c r="D1869" s="6" t="s">
        <v>10</v>
      </c>
      <c r="E1869" s="6" t="s">
        <v>11</v>
      </c>
      <c r="F1869" s="6">
        <v>1</v>
      </c>
      <c r="G1869" s="6">
        <v>597</v>
      </c>
    </row>
    <row r="1870" s="2" customFormat="true" ht="22.5" customHeight="true" spans="1:7">
      <c r="A1870" s="6">
        <f>1868</f>
        <v>1868</v>
      </c>
      <c r="B1870" s="6" t="s">
        <v>1872</v>
      </c>
      <c r="C1870" s="6" t="s">
        <v>9</v>
      </c>
      <c r="D1870" s="6" t="s">
        <v>161</v>
      </c>
      <c r="E1870" s="6" t="s">
        <v>17</v>
      </c>
      <c r="F1870" s="6">
        <v>3</v>
      </c>
      <c r="G1870" s="6">
        <v>1972</v>
      </c>
    </row>
    <row r="1871" s="2" customFormat="true" ht="22.5" customHeight="true" spans="1:7">
      <c r="A1871" s="6">
        <f>1869</f>
        <v>1869</v>
      </c>
      <c r="B1871" s="6" t="s">
        <v>1873</v>
      </c>
      <c r="C1871" s="6" t="s">
        <v>9</v>
      </c>
      <c r="D1871" s="6" t="s">
        <v>122</v>
      </c>
      <c r="E1871" s="6" t="s">
        <v>11</v>
      </c>
      <c r="F1871" s="6">
        <v>1</v>
      </c>
      <c r="G1871" s="6">
        <v>632</v>
      </c>
    </row>
    <row r="1872" s="2" customFormat="true" ht="22.5" customHeight="true" spans="1:7">
      <c r="A1872" s="6">
        <f>1870</f>
        <v>1870</v>
      </c>
      <c r="B1872" s="6" t="s">
        <v>1874</v>
      </c>
      <c r="C1872" s="6" t="s">
        <v>9</v>
      </c>
      <c r="D1872" s="6" t="s">
        <v>146</v>
      </c>
      <c r="E1872" s="6" t="s">
        <v>11</v>
      </c>
      <c r="F1872" s="6">
        <v>4</v>
      </c>
      <c r="G1872" s="6">
        <v>2377</v>
      </c>
    </row>
    <row r="1873" s="2" customFormat="true" ht="22.5" customHeight="true" spans="1:7">
      <c r="A1873" s="6">
        <f>1871</f>
        <v>1871</v>
      </c>
      <c r="B1873" s="6" t="s">
        <v>1875</v>
      </c>
      <c r="C1873" s="6" t="s">
        <v>15</v>
      </c>
      <c r="D1873" s="6" t="s">
        <v>129</v>
      </c>
      <c r="E1873" s="6" t="s">
        <v>17</v>
      </c>
      <c r="F1873" s="6">
        <v>2</v>
      </c>
      <c r="G1873" s="6">
        <v>1178</v>
      </c>
    </row>
    <row r="1874" s="2" customFormat="true" ht="22.5" customHeight="true" spans="1:7">
      <c r="A1874" s="6">
        <f>1872</f>
        <v>1872</v>
      </c>
      <c r="B1874" s="6" t="s">
        <v>1876</v>
      </c>
      <c r="C1874" s="6" t="s">
        <v>15</v>
      </c>
      <c r="D1874" s="6" t="s">
        <v>222</v>
      </c>
      <c r="E1874" s="6" t="s">
        <v>17</v>
      </c>
      <c r="F1874" s="6">
        <v>2</v>
      </c>
      <c r="G1874" s="6">
        <v>1416</v>
      </c>
    </row>
    <row r="1875" s="2" customFormat="true" ht="22.5" customHeight="true" spans="1:7">
      <c r="A1875" s="6">
        <f>1873</f>
        <v>1873</v>
      </c>
      <c r="B1875" s="6" t="s">
        <v>1877</v>
      </c>
      <c r="C1875" s="6" t="s">
        <v>9</v>
      </c>
      <c r="D1875" s="6" t="s">
        <v>138</v>
      </c>
      <c r="E1875" s="6" t="s">
        <v>11</v>
      </c>
      <c r="F1875" s="6">
        <v>3</v>
      </c>
      <c r="G1875" s="6">
        <v>1694</v>
      </c>
    </row>
    <row r="1876" s="2" customFormat="true" ht="22.5" customHeight="true" spans="1:7">
      <c r="A1876" s="6">
        <f>1874</f>
        <v>1874</v>
      </c>
      <c r="B1876" s="6" t="s">
        <v>1878</v>
      </c>
      <c r="C1876" s="6" t="s">
        <v>9</v>
      </c>
      <c r="D1876" s="6" t="s">
        <v>202</v>
      </c>
      <c r="E1876" s="6" t="s">
        <v>11</v>
      </c>
      <c r="F1876" s="6">
        <v>1</v>
      </c>
      <c r="G1876" s="6">
        <v>597</v>
      </c>
    </row>
    <row r="1877" s="2" customFormat="true" ht="22.5" customHeight="true" spans="1:7">
      <c r="A1877" s="6">
        <f>1875</f>
        <v>1875</v>
      </c>
      <c r="B1877" s="6" t="s">
        <v>1879</v>
      </c>
      <c r="C1877" s="6" t="s">
        <v>15</v>
      </c>
      <c r="D1877" s="6" t="s">
        <v>161</v>
      </c>
      <c r="E1877" s="6" t="s">
        <v>17</v>
      </c>
      <c r="F1877" s="6">
        <v>2</v>
      </c>
      <c r="G1877" s="6">
        <v>1340</v>
      </c>
    </row>
    <row r="1878" s="2" customFormat="true" ht="22.5" customHeight="true" spans="1:7">
      <c r="A1878" s="6">
        <f>1876</f>
        <v>1876</v>
      </c>
      <c r="B1878" s="6" t="s">
        <v>1880</v>
      </c>
      <c r="C1878" s="6" t="s">
        <v>15</v>
      </c>
      <c r="D1878" s="6" t="s">
        <v>143</v>
      </c>
      <c r="E1878" s="6" t="s">
        <v>17</v>
      </c>
      <c r="F1878" s="6">
        <v>1</v>
      </c>
      <c r="G1878" s="6">
        <v>708</v>
      </c>
    </row>
    <row r="1879" s="2" customFormat="true" ht="22.5" customHeight="true" spans="1:7">
      <c r="A1879" s="6">
        <f>1877</f>
        <v>1877</v>
      </c>
      <c r="B1879" s="6" t="s">
        <v>1881</v>
      </c>
      <c r="C1879" s="6" t="s">
        <v>15</v>
      </c>
      <c r="D1879" s="6" t="s">
        <v>202</v>
      </c>
      <c r="E1879" s="6" t="s">
        <v>17</v>
      </c>
      <c r="F1879" s="6">
        <v>1</v>
      </c>
      <c r="G1879" s="6">
        <v>706</v>
      </c>
    </row>
    <row r="1880" s="2" customFormat="true" ht="22.5" customHeight="true" spans="1:7">
      <c r="A1880" s="6">
        <f>1878</f>
        <v>1878</v>
      </c>
      <c r="B1880" s="6" t="s">
        <v>1882</v>
      </c>
      <c r="C1880" s="6" t="s">
        <v>15</v>
      </c>
      <c r="D1880" s="6" t="s">
        <v>124</v>
      </c>
      <c r="E1880" s="6" t="s">
        <v>17</v>
      </c>
      <c r="F1880" s="6">
        <v>2</v>
      </c>
      <c r="G1880" s="6">
        <v>1340</v>
      </c>
    </row>
    <row r="1881" s="2" customFormat="true" ht="22.5" customHeight="true" spans="1:7">
      <c r="A1881" s="6">
        <f>1879</f>
        <v>1879</v>
      </c>
      <c r="B1881" s="6" t="s">
        <v>1883</v>
      </c>
      <c r="C1881" s="6" t="s">
        <v>15</v>
      </c>
      <c r="D1881" s="6" t="s">
        <v>169</v>
      </c>
      <c r="E1881" s="6" t="s">
        <v>17</v>
      </c>
      <c r="F1881" s="6">
        <v>3</v>
      </c>
      <c r="G1881" s="6">
        <v>1821</v>
      </c>
    </row>
    <row r="1882" s="2" customFormat="true" ht="22.5" customHeight="true" spans="1:7">
      <c r="A1882" s="6">
        <f>1880</f>
        <v>1880</v>
      </c>
      <c r="B1882" s="6" t="s">
        <v>1884</v>
      </c>
      <c r="C1882" s="6" t="s">
        <v>9</v>
      </c>
      <c r="D1882" s="6" t="s">
        <v>146</v>
      </c>
      <c r="E1882" s="6" t="s">
        <v>17</v>
      </c>
      <c r="F1882" s="6">
        <v>3</v>
      </c>
      <c r="G1882" s="6">
        <v>1821</v>
      </c>
    </row>
    <row r="1883" s="2" customFormat="true" ht="22.5" customHeight="true" spans="1:7">
      <c r="A1883" s="6">
        <f>1881</f>
        <v>1881</v>
      </c>
      <c r="B1883" s="6" t="s">
        <v>1885</v>
      </c>
      <c r="C1883" s="6" t="s">
        <v>9</v>
      </c>
      <c r="D1883" s="6" t="s">
        <v>192</v>
      </c>
      <c r="E1883" s="6" t="s">
        <v>17</v>
      </c>
      <c r="F1883" s="6">
        <v>3</v>
      </c>
      <c r="G1883" s="6">
        <v>1727</v>
      </c>
    </row>
    <row r="1884" s="2" customFormat="true" ht="22.5" customHeight="true" spans="1:7">
      <c r="A1884" s="6">
        <f>1882</f>
        <v>1882</v>
      </c>
      <c r="B1884" s="6" t="s">
        <v>1886</v>
      </c>
      <c r="C1884" s="6" t="s">
        <v>15</v>
      </c>
      <c r="D1884" s="6" t="s">
        <v>188</v>
      </c>
      <c r="E1884" s="6" t="s">
        <v>11</v>
      </c>
      <c r="F1884" s="6">
        <v>1</v>
      </c>
      <c r="G1884" s="6">
        <v>632</v>
      </c>
    </row>
    <row r="1885" s="2" customFormat="true" ht="22.5" customHeight="true" spans="1:7">
      <c r="A1885" s="6">
        <f>1883</f>
        <v>1883</v>
      </c>
      <c r="B1885" s="6" t="s">
        <v>1887</v>
      </c>
      <c r="C1885" s="6" t="s">
        <v>15</v>
      </c>
      <c r="D1885" s="6" t="s">
        <v>146</v>
      </c>
      <c r="E1885" s="6" t="s">
        <v>17</v>
      </c>
      <c r="F1885" s="6">
        <v>2</v>
      </c>
      <c r="G1885" s="6">
        <v>1264</v>
      </c>
    </row>
    <row r="1886" s="2" customFormat="true" ht="22.5" customHeight="true" spans="1:7">
      <c r="A1886" s="6">
        <f>1884</f>
        <v>1884</v>
      </c>
      <c r="B1886" s="6" t="s">
        <v>1888</v>
      </c>
      <c r="C1886" s="6" t="s">
        <v>15</v>
      </c>
      <c r="D1886" s="6" t="s">
        <v>192</v>
      </c>
      <c r="E1886" s="6" t="s">
        <v>11</v>
      </c>
      <c r="F1886" s="6">
        <v>1</v>
      </c>
      <c r="G1886" s="6">
        <v>594</v>
      </c>
    </row>
    <row r="1887" s="2" customFormat="true" ht="22.5" customHeight="true" spans="1:7">
      <c r="A1887" s="6">
        <f>1885</f>
        <v>1885</v>
      </c>
      <c r="B1887" s="6" t="s">
        <v>1889</v>
      </c>
      <c r="C1887" s="6" t="s">
        <v>9</v>
      </c>
      <c r="D1887" s="6" t="s">
        <v>146</v>
      </c>
      <c r="E1887" s="6" t="s">
        <v>11</v>
      </c>
      <c r="F1887" s="6">
        <v>2</v>
      </c>
      <c r="G1887" s="6">
        <v>1264</v>
      </c>
    </row>
    <row r="1888" s="2" customFormat="true" ht="22.5" customHeight="true" spans="1:7">
      <c r="A1888" s="6">
        <f>1886</f>
        <v>1886</v>
      </c>
      <c r="B1888" s="6" t="s">
        <v>1890</v>
      </c>
      <c r="C1888" s="6" t="s">
        <v>9</v>
      </c>
      <c r="D1888" s="6" t="s">
        <v>13</v>
      </c>
      <c r="E1888" s="6" t="s">
        <v>11</v>
      </c>
      <c r="F1888" s="6">
        <v>1</v>
      </c>
      <c r="G1888" s="6">
        <v>642</v>
      </c>
    </row>
    <row r="1889" s="2" customFormat="true" ht="22.5" customHeight="true" spans="1:7">
      <c r="A1889" s="6">
        <f>1887</f>
        <v>1887</v>
      </c>
      <c r="B1889" s="6" t="s">
        <v>1891</v>
      </c>
      <c r="C1889" s="6" t="s">
        <v>15</v>
      </c>
      <c r="D1889" s="6" t="s">
        <v>16</v>
      </c>
      <c r="E1889" s="6" t="s">
        <v>17</v>
      </c>
      <c r="F1889" s="6">
        <v>1</v>
      </c>
      <c r="G1889" s="6">
        <v>690</v>
      </c>
    </row>
    <row r="1890" s="2" customFormat="true" ht="22.5" customHeight="true" spans="1:7">
      <c r="A1890" s="6">
        <f>1888</f>
        <v>1888</v>
      </c>
      <c r="B1890" s="6" t="s">
        <v>1892</v>
      </c>
      <c r="C1890" s="6" t="s">
        <v>15</v>
      </c>
      <c r="D1890" s="6" t="s">
        <v>138</v>
      </c>
      <c r="E1890" s="6" t="s">
        <v>11</v>
      </c>
      <c r="F1890" s="6">
        <v>2</v>
      </c>
      <c r="G1890" s="6">
        <v>1174</v>
      </c>
    </row>
    <row r="1891" s="2" customFormat="true" ht="22.5" customHeight="true" spans="1:7">
      <c r="A1891" s="6">
        <f>1889</f>
        <v>1889</v>
      </c>
      <c r="B1891" s="6" t="s">
        <v>1893</v>
      </c>
      <c r="C1891" s="6" t="s">
        <v>9</v>
      </c>
      <c r="D1891" s="6" t="s">
        <v>230</v>
      </c>
      <c r="E1891" s="6" t="s">
        <v>11</v>
      </c>
      <c r="F1891" s="6">
        <v>2</v>
      </c>
      <c r="G1891" s="6">
        <v>1296</v>
      </c>
    </row>
    <row r="1892" s="2" customFormat="true" ht="22.5" customHeight="true" spans="1:7">
      <c r="A1892" s="6">
        <f>1890</f>
        <v>1890</v>
      </c>
      <c r="B1892" s="6" t="s">
        <v>1894</v>
      </c>
      <c r="C1892" s="6" t="s">
        <v>9</v>
      </c>
      <c r="D1892" s="6" t="s">
        <v>131</v>
      </c>
      <c r="E1892" s="6" t="s">
        <v>17</v>
      </c>
      <c r="F1892" s="6">
        <v>1</v>
      </c>
      <c r="G1892" s="6">
        <v>708</v>
      </c>
    </row>
    <row r="1893" s="2" customFormat="true" ht="22.5" customHeight="true" spans="1:7">
      <c r="A1893" s="6">
        <f>1891</f>
        <v>1891</v>
      </c>
      <c r="B1893" s="6" t="s">
        <v>1895</v>
      </c>
      <c r="C1893" s="6" t="s">
        <v>9</v>
      </c>
      <c r="D1893" s="6" t="s">
        <v>185</v>
      </c>
      <c r="E1893" s="6" t="s">
        <v>11</v>
      </c>
      <c r="F1893" s="6">
        <v>1</v>
      </c>
      <c r="G1893" s="6">
        <v>594</v>
      </c>
    </row>
    <row r="1894" s="2" customFormat="true" ht="22.5" customHeight="true" spans="1:7">
      <c r="A1894" s="6">
        <f>1892</f>
        <v>1892</v>
      </c>
      <c r="B1894" s="6" t="s">
        <v>1896</v>
      </c>
      <c r="C1894" s="6" t="s">
        <v>9</v>
      </c>
      <c r="D1894" s="6" t="s">
        <v>13</v>
      </c>
      <c r="E1894" s="6" t="s">
        <v>11</v>
      </c>
      <c r="F1894" s="6">
        <v>1</v>
      </c>
      <c r="G1894" s="6">
        <v>597</v>
      </c>
    </row>
    <row r="1895" s="2" customFormat="true" ht="22.5" customHeight="true" spans="1:7">
      <c r="A1895" s="6">
        <f>1893</f>
        <v>1893</v>
      </c>
      <c r="B1895" s="6" t="s">
        <v>1897</v>
      </c>
      <c r="C1895" s="6" t="s">
        <v>15</v>
      </c>
      <c r="D1895" s="6" t="s">
        <v>230</v>
      </c>
      <c r="E1895" s="6" t="s">
        <v>17</v>
      </c>
      <c r="F1895" s="6">
        <v>1</v>
      </c>
      <c r="G1895" s="6">
        <v>696</v>
      </c>
    </row>
    <row r="1896" s="2" customFormat="true" ht="22.5" customHeight="true" spans="1:7">
      <c r="A1896" s="6">
        <f>1894</f>
        <v>1894</v>
      </c>
      <c r="B1896" s="6" t="s">
        <v>1898</v>
      </c>
      <c r="C1896" s="6" t="s">
        <v>15</v>
      </c>
      <c r="D1896" s="6" t="s">
        <v>133</v>
      </c>
      <c r="E1896" s="6" t="s">
        <v>17</v>
      </c>
      <c r="F1896" s="6">
        <v>1</v>
      </c>
      <c r="G1896" s="6">
        <v>708</v>
      </c>
    </row>
    <row r="1897" s="2" customFormat="true" ht="22.5" customHeight="true" spans="1:7">
      <c r="A1897" s="6">
        <f>1895</f>
        <v>1895</v>
      </c>
      <c r="B1897" s="6" t="s">
        <v>1899</v>
      </c>
      <c r="C1897" s="6" t="s">
        <v>9</v>
      </c>
      <c r="D1897" s="6" t="s">
        <v>27</v>
      </c>
      <c r="E1897" s="6" t="s">
        <v>11</v>
      </c>
      <c r="F1897" s="6">
        <v>2</v>
      </c>
      <c r="G1897" s="6">
        <v>1154</v>
      </c>
    </row>
    <row r="1898" s="2" customFormat="true" ht="22.5" customHeight="true" spans="1:7">
      <c r="A1898" s="6">
        <f>1896</f>
        <v>1896</v>
      </c>
      <c r="B1898" s="6" t="s">
        <v>1900</v>
      </c>
      <c r="C1898" s="6" t="s">
        <v>15</v>
      </c>
      <c r="D1898" s="6" t="s">
        <v>164</v>
      </c>
      <c r="E1898" s="6" t="s">
        <v>17</v>
      </c>
      <c r="F1898" s="6">
        <v>1</v>
      </c>
      <c r="G1898" s="6">
        <v>708</v>
      </c>
    </row>
    <row r="1899" s="2" customFormat="true" ht="22.5" customHeight="true" spans="1:7">
      <c r="A1899" s="6">
        <f>1897</f>
        <v>1897</v>
      </c>
      <c r="B1899" s="6" t="s">
        <v>1901</v>
      </c>
      <c r="C1899" s="6" t="s">
        <v>15</v>
      </c>
      <c r="D1899" s="6" t="s">
        <v>67</v>
      </c>
      <c r="E1899" s="6" t="s">
        <v>11</v>
      </c>
      <c r="F1899" s="6">
        <v>1</v>
      </c>
      <c r="G1899" s="6">
        <v>597</v>
      </c>
    </row>
    <row r="1900" s="2" customFormat="true" ht="22.5" customHeight="true" spans="1:7">
      <c r="A1900" s="6">
        <f>1898</f>
        <v>1898</v>
      </c>
      <c r="B1900" s="6" t="s">
        <v>1902</v>
      </c>
      <c r="C1900" s="6" t="s">
        <v>9</v>
      </c>
      <c r="D1900" s="6" t="s">
        <v>188</v>
      </c>
      <c r="E1900" s="6" t="s">
        <v>17</v>
      </c>
      <c r="F1900" s="6">
        <v>1</v>
      </c>
      <c r="G1900" s="6">
        <v>708</v>
      </c>
    </row>
    <row r="1901" s="2" customFormat="true" ht="22.5" customHeight="true" spans="1:7">
      <c r="A1901" s="6">
        <f>1899</f>
        <v>1899</v>
      </c>
      <c r="B1901" s="6" t="s">
        <v>1903</v>
      </c>
      <c r="C1901" s="6" t="s">
        <v>9</v>
      </c>
      <c r="D1901" s="6" t="s">
        <v>143</v>
      </c>
      <c r="E1901" s="6" t="s">
        <v>17</v>
      </c>
      <c r="F1901" s="6">
        <v>1</v>
      </c>
      <c r="G1901" s="6">
        <v>708</v>
      </c>
    </row>
    <row r="1902" s="2" customFormat="true" ht="22.5" customHeight="true" spans="1:7">
      <c r="A1902" s="6">
        <f>1900</f>
        <v>1900</v>
      </c>
      <c r="B1902" s="6" t="s">
        <v>1904</v>
      </c>
      <c r="C1902" s="6" t="s">
        <v>15</v>
      </c>
      <c r="D1902" s="6" t="s">
        <v>182</v>
      </c>
      <c r="E1902" s="6" t="s">
        <v>17</v>
      </c>
      <c r="F1902" s="6">
        <v>1</v>
      </c>
      <c r="G1902" s="6">
        <v>690</v>
      </c>
    </row>
    <row r="1903" s="2" customFormat="true" ht="22.5" customHeight="true" spans="1:7">
      <c r="A1903" s="6">
        <f>1901</f>
        <v>1901</v>
      </c>
      <c r="B1903" s="6" t="s">
        <v>1905</v>
      </c>
      <c r="C1903" s="6" t="s">
        <v>9</v>
      </c>
      <c r="D1903" s="6" t="s">
        <v>67</v>
      </c>
      <c r="E1903" s="6" t="s">
        <v>17</v>
      </c>
      <c r="F1903" s="6">
        <v>1</v>
      </c>
      <c r="G1903" s="6">
        <v>706</v>
      </c>
    </row>
    <row r="1904" s="2" customFormat="true" ht="22.5" customHeight="true" spans="1:7">
      <c r="A1904" s="6">
        <f>1902</f>
        <v>1902</v>
      </c>
      <c r="B1904" s="6" t="s">
        <v>1906</v>
      </c>
      <c r="C1904" s="6" t="s">
        <v>15</v>
      </c>
      <c r="D1904" s="6" t="s">
        <v>49</v>
      </c>
      <c r="E1904" s="6" t="s">
        <v>17</v>
      </c>
      <c r="F1904" s="6">
        <v>2</v>
      </c>
      <c r="G1904" s="6">
        <v>1183</v>
      </c>
    </row>
    <row r="1905" s="2" customFormat="true" ht="22.5" customHeight="true" spans="1:7">
      <c r="A1905" s="6">
        <f>1903</f>
        <v>1903</v>
      </c>
      <c r="B1905" s="6" t="s">
        <v>1907</v>
      </c>
      <c r="C1905" s="6" t="s">
        <v>9</v>
      </c>
      <c r="D1905" s="6" t="s">
        <v>122</v>
      </c>
      <c r="E1905" s="6" t="s">
        <v>17</v>
      </c>
      <c r="F1905" s="6">
        <v>2</v>
      </c>
      <c r="G1905" s="6">
        <v>1340</v>
      </c>
    </row>
    <row r="1906" s="2" customFormat="true" ht="22.5" customHeight="true" spans="1:7">
      <c r="A1906" s="6">
        <f>1904</f>
        <v>1904</v>
      </c>
      <c r="B1906" s="6" t="s">
        <v>1908</v>
      </c>
      <c r="C1906" s="6" t="s">
        <v>9</v>
      </c>
      <c r="D1906" s="6" t="s">
        <v>222</v>
      </c>
      <c r="E1906" s="6" t="s">
        <v>17</v>
      </c>
      <c r="F1906" s="6">
        <v>2</v>
      </c>
      <c r="G1906" s="6">
        <v>1340</v>
      </c>
    </row>
    <row r="1907" s="2" customFormat="true" ht="22.5" customHeight="true" spans="1:7">
      <c r="A1907" s="6">
        <f>1905</f>
        <v>1905</v>
      </c>
      <c r="B1907" s="6" t="s">
        <v>1025</v>
      </c>
      <c r="C1907" s="6" t="s">
        <v>9</v>
      </c>
      <c r="D1907" s="6" t="s">
        <v>13</v>
      </c>
      <c r="E1907" s="6" t="s">
        <v>17</v>
      </c>
      <c r="F1907" s="6">
        <v>1</v>
      </c>
      <c r="G1907" s="6">
        <v>715</v>
      </c>
    </row>
    <row r="1908" s="2" customFormat="true" ht="22.5" customHeight="true" spans="1:7">
      <c r="A1908" s="6">
        <f>1906</f>
        <v>1906</v>
      </c>
      <c r="B1908" s="6" t="s">
        <v>1909</v>
      </c>
      <c r="C1908" s="6" t="s">
        <v>9</v>
      </c>
      <c r="D1908" s="6" t="s">
        <v>169</v>
      </c>
      <c r="E1908" s="6" t="s">
        <v>11</v>
      </c>
      <c r="F1908" s="6">
        <v>1</v>
      </c>
      <c r="G1908" s="6">
        <v>632</v>
      </c>
    </row>
    <row r="1909" s="2" customFormat="true" ht="22.5" customHeight="true" spans="1:7">
      <c r="A1909" s="6">
        <f>1907</f>
        <v>1907</v>
      </c>
      <c r="B1909" s="6" t="s">
        <v>1910</v>
      </c>
      <c r="C1909" s="6" t="s">
        <v>15</v>
      </c>
      <c r="D1909" s="6" t="s">
        <v>49</v>
      </c>
      <c r="E1909" s="6" t="s">
        <v>17</v>
      </c>
      <c r="F1909" s="6">
        <v>1</v>
      </c>
      <c r="G1909" s="6">
        <v>741</v>
      </c>
    </row>
    <row r="1910" s="2" customFormat="true" ht="22.5" customHeight="true" spans="1:7">
      <c r="A1910" s="6">
        <f>1908</f>
        <v>1908</v>
      </c>
      <c r="B1910" s="6" t="s">
        <v>1911</v>
      </c>
      <c r="C1910" s="6" t="s">
        <v>9</v>
      </c>
      <c r="D1910" s="6" t="s">
        <v>131</v>
      </c>
      <c r="E1910" s="6" t="s">
        <v>17</v>
      </c>
      <c r="F1910" s="6">
        <v>1</v>
      </c>
      <c r="G1910" s="6">
        <v>708</v>
      </c>
    </row>
    <row r="1911" s="2" customFormat="true" ht="22.5" customHeight="true" spans="1:7">
      <c r="A1911" s="6">
        <f>1909</f>
        <v>1909</v>
      </c>
      <c r="B1911" s="6" t="s">
        <v>1912</v>
      </c>
      <c r="C1911" s="6" t="s">
        <v>9</v>
      </c>
      <c r="D1911" s="6" t="s">
        <v>131</v>
      </c>
      <c r="E1911" s="6" t="s">
        <v>17</v>
      </c>
      <c r="F1911" s="6">
        <v>1</v>
      </c>
      <c r="G1911" s="6">
        <v>708</v>
      </c>
    </row>
    <row r="1912" s="2" customFormat="true" ht="22.5" customHeight="true" spans="1:7">
      <c r="A1912" s="6">
        <f>1910</f>
        <v>1910</v>
      </c>
      <c r="B1912" s="6" t="s">
        <v>1913</v>
      </c>
      <c r="C1912" s="6" t="s">
        <v>15</v>
      </c>
      <c r="D1912" s="6" t="s">
        <v>416</v>
      </c>
      <c r="E1912" s="6" t="s">
        <v>17</v>
      </c>
      <c r="F1912" s="6">
        <v>3</v>
      </c>
      <c r="G1912" s="6">
        <v>1578</v>
      </c>
    </row>
    <row r="1913" s="2" customFormat="true" ht="22.5" customHeight="true" spans="1:7">
      <c r="A1913" s="6">
        <f>1911</f>
        <v>1911</v>
      </c>
      <c r="B1913" s="6" t="s">
        <v>1914</v>
      </c>
      <c r="C1913" s="6" t="s">
        <v>9</v>
      </c>
      <c r="D1913" s="6" t="s">
        <v>149</v>
      </c>
      <c r="E1913" s="6" t="s">
        <v>17</v>
      </c>
      <c r="F1913" s="6">
        <v>3</v>
      </c>
      <c r="G1913" s="6">
        <v>1972</v>
      </c>
    </row>
    <row r="1914" s="2" customFormat="true" ht="22.5" customHeight="true" spans="1:7">
      <c r="A1914" s="6">
        <f>1912</f>
        <v>1912</v>
      </c>
      <c r="B1914" s="6" t="s">
        <v>1915</v>
      </c>
      <c r="C1914" s="6" t="s">
        <v>9</v>
      </c>
      <c r="D1914" s="6" t="s">
        <v>124</v>
      </c>
      <c r="E1914" s="6" t="s">
        <v>17</v>
      </c>
      <c r="F1914" s="6">
        <v>1</v>
      </c>
      <c r="G1914" s="6">
        <v>708</v>
      </c>
    </row>
    <row r="1915" s="2" customFormat="true" ht="22.5" customHeight="true" spans="1:7">
      <c r="A1915" s="6">
        <f>1913</f>
        <v>1913</v>
      </c>
      <c r="B1915" s="6" t="s">
        <v>1916</v>
      </c>
      <c r="C1915" s="6" t="s">
        <v>15</v>
      </c>
      <c r="D1915" s="6" t="s">
        <v>188</v>
      </c>
      <c r="E1915" s="6" t="s">
        <v>17</v>
      </c>
      <c r="F1915" s="6">
        <v>1</v>
      </c>
      <c r="G1915" s="6">
        <v>708</v>
      </c>
    </row>
    <row r="1916" s="2" customFormat="true" ht="22.5" customHeight="true" spans="1:7">
      <c r="A1916" s="6">
        <f>1914</f>
        <v>1914</v>
      </c>
      <c r="B1916" s="6" t="s">
        <v>1917</v>
      </c>
      <c r="C1916" s="6" t="s">
        <v>9</v>
      </c>
      <c r="D1916" s="6" t="s">
        <v>182</v>
      </c>
      <c r="E1916" s="6" t="s">
        <v>17</v>
      </c>
      <c r="F1916" s="6">
        <v>1</v>
      </c>
      <c r="G1916" s="6">
        <v>690</v>
      </c>
    </row>
    <row r="1917" s="2" customFormat="true" ht="22.5" customHeight="true" spans="1:7">
      <c r="A1917" s="6">
        <f>1915</f>
        <v>1915</v>
      </c>
      <c r="B1917" s="6" t="s">
        <v>1918</v>
      </c>
      <c r="C1917" s="6" t="s">
        <v>9</v>
      </c>
      <c r="D1917" s="6" t="s">
        <v>161</v>
      </c>
      <c r="E1917" s="6" t="s">
        <v>17</v>
      </c>
      <c r="F1917" s="6">
        <v>1</v>
      </c>
      <c r="G1917" s="6">
        <v>708</v>
      </c>
    </row>
    <row r="1918" s="2" customFormat="true" ht="22.5" customHeight="true" spans="1:7">
      <c r="A1918" s="6">
        <f>1916</f>
        <v>1916</v>
      </c>
      <c r="B1918" s="6" t="s">
        <v>1919</v>
      </c>
      <c r="C1918" s="6" t="s">
        <v>9</v>
      </c>
      <c r="D1918" s="6" t="s">
        <v>169</v>
      </c>
      <c r="E1918" s="6" t="s">
        <v>17</v>
      </c>
      <c r="F1918" s="6">
        <v>2</v>
      </c>
      <c r="G1918" s="6">
        <v>1254</v>
      </c>
    </row>
    <row r="1919" s="2" customFormat="true" ht="22.5" customHeight="true" spans="1:7">
      <c r="A1919" s="6">
        <f>1917</f>
        <v>1917</v>
      </c>
      <c r="B1919" s="6" t="s">
        <v>1920</v>
      </c>
      <c r="C1919" s="6" t="s">
        <v>9</v>
      </c>
      <c r="D1919" s="6" t="s">
        <v>182</v>
      </c>
      <c r="E1919" s="6" t="s">
        <v>17</v>
      </c>
      <c r="F1919" s="6">
        <v>2</v>
      </c>
      <c r="G1919" s="6">
        <v>1103</v>
      </c>
    </row>
    <row r="1920" s="2" customFormat="true" ht="22.5" customHeight="true" spans="1:7">
      <c r="A1920" s="6">
        <f>1918</f>
        <v>1918</v>
      </c>
      <c r="B1920" s="6" t="s">
        <v>1921</v>
      </c>
      <c r="C1920" s="6" t="s">
        <v>15</v>
      </c>
      <c r="D1920" s="6" t="s">
        <v>192</v>
      </c>
      <c r="E1920" s="6" t="s">
        <v>17</v>
      </c>
      <c r="F1920" s="6">
        <v>1</v>
      </c>
      <c r="G1920" s="6">
        <v>690</v>
      </c>
    </row>
    <row r="1921" s="2" customFormat="true" ht="22.5" customHeight="true" spans="1:7">
      <c r="A1921" s="6">
        <f>1919</f>
        <v>1919</v>
      </c>
      <c r="B1921" s="6" t="s">
        <v>1922</v>
      </c>
      <c r="C1921" s="6" t="s">
        <v>9</v>
      </c>
      <c r="D1921" s="6" t="s">
        <v>27</v>
      </c>
      <c r="E1921" s="6" t="s">
        <v>11</v>
      </c>
      <c r="F1921" s="6">
        <v>1</v>
      </c>
      <c r="G1921" s="6">
        <v>655</v>
      </c>
    </row>
    <row r="1922" s="2" customFormat="true" ht="22.5" customHeight="true" spans="1:7">
      <c r="A1922" s="6">
        <f>1920</f>
        <v>1920</v>
      </c>
      <c r="B1922" s="6" t="s">
        <v>1923</v>
      </c>
      <c r="C1922" s="6" t="s">
        <v>9</v>
      </c>
      <c r="D1922" s="6" t="s">
        <v>27</v>
      </c>
      <c r="E1922" s="6" t="s">
        <v>17</v>
      </c>
      <c r="F1922" s="6">
        <v>1</v>
      </c>
      <c r="G1922" s="6">
        <v>744</v>
      </c>
    </row>
    <row r="1923" s="2" customFormat="true" ht="22.5" customHeight="true" spans="1:7">
      <c r="A1923" s="6">
        <f>1921</f>
        <v>1921</v>
      </c>
      <c r="B1923" s="6" t="s">
        <v>1924</v>
      </c>
      <c r="C1923" s="6" t="s">
        <v>9</v>
      </c>
      <c r="D1923" s="6" t="s">
        <v>10</v>
      </c>
      <c r="E1923" s="6" t="s">
        <v>11</v>
      </c>
      <c r="F1923" s="6">
        <v>1</v>
      </c>
      <c r="G1923" s="6">
        <v>655</v>
      </c>
    </row>
    <row r="1924" s="2" customFormat="true" ht="22.5" customHeight="true" spans="1:7">
      <c r="A1924" s="6">
        <f>1922</f>
        <v>1922</v>
      </c>
      <c r="B1924" s="6" t="s">
        <v>1925</v>
      </c>
      <c r="C1924" s="6" t="s">
        <v>15</v>
      </c>
      <c r="D1924" s="6" t="s">
        <v>19</v>
      </c>
      <c r="E1924" s="6" t="s">
        <v>17</v>
      </c>
      <c r="F1924" s="6">
        <v>1</v>
      </c>
      <c r="G1924" s="6">
        <v>681</v>
      </c>
    </row>
    <row r="1925" s="2" customFormat="true" ht="22.5" customHeight="true" spans="1:7">
      <c r="A1925" s="6">
        <f>1923</f>
        <v>1923</v>
      </c>
      <c r="B1925" s="6" t="s">
        <v>1926</v>
      </c>
      <c r="C1925" s="6" t="s">
        <v>9</v>
      </c>
      <c r="D1925" s="6" t="s">
        <v>209</v>
      </c>
      <c r="E1925" s="6" t="s">
        <v>17</v>
      </c>
      <c r="F1925" s="6">
        <v>2</v>
      </c>
      <c r="G1925" s="6">
        <v>1321</v>
      </c>
    </row>
    <row r="1926" s="2" customFormat="true" ht="22.5" customHeight="true" spans="1:7">
      <c r="A1926" s="6">
        <f>1924</f>
        <v>1924</v>
      </c>
      <c r="B1926" s="6" t="s">
        <v>1927</v>
      </c>
      <c r="C1926" s="6" t="s">
        <v>9</v>
      </c>
      <c r="D1926" s="6" t="s">
        <v>180</v>
      </c>
      <c r="E1926" s="6" t="s">
        <v>17</v>
      </c>
      <c r="F1926" s="6">
        <v>5</v>
      </c>
      <c r="G1926" s="6">
        <v>2987</v>
      </c>
    </row>
    <row r="1927" s="2" customFormat="true" ht="22.5" customHeight="true" spans="1:7">
      <c r="A1927" s="6">
        <f>1925</f>
        <v>1925</v>
      </c>
      <c r="B1927" s="6" t="s">
        <v>1928</v>
      </c>
      <c r="C1927" s="6" t="s">
        <v>9</v>
      </c>
      <c r="D1927" s="6" t="s">
        <v>138</v>
      </c>
      <c r="E1927" s="6" t="s">
        <v>11</v>
      </c>
      <c r="F1927" s="6">
        <v>2</v>
      </c>
      <c r="G1927" s="6">
        <v>1194</v>
      </c>
    </row>
    <row r="1928" s="2" customFormat="true" ht="22.5" customHeight="true" spans="1:7">
      <c r="A1928" s="6">
        <f>1926</f>
        <v>1926</v>
      </c>
      <c r="B1928" s="6" t="s">
        <v>1929</v>
      </c>
      <c r="C1928" s="6" t="s">
        <v>15</v>
      </c>
      <c r="D1928" s="6" t="s">
        <v>280</v>
      </c>
      <c r="E1928" s="6" t="s">
        <v>17</v>
      </c>
      <c r="F1928" s="6">
        <v>2</v>
      </c>
      <c r="G1928" s="6">
        <v>1178</v>
      </c>
    </row>
    <row r="1929" s="2" customFormat="true" ht="22.5" customHeight="true" spans="1:7">
      <c r="A1929" s="6">
        <f>1927</f>
        <v>1927</v>
      </c>
      <c r="B1929" s="6" t="s">
        <v>706</v>
      </c>
      <c r="C1929" s="6" t="s">
        <v>9</v>
      </c>
      <c r="D1929" s="6" t="s">
        <v>129</v>
      </c>
      <c r="E1929" s="6" t="s">
        <v>17</v>
      </c>
      <c r="F1929" s="6">
        <v>1</v>
      </c>
      <c r="G1929" s="6">
        <v>708</v>
      </c>
    </row>
    <row r="1930" s="2" customFormat="true" ht="22.5" customHeight="true" spans="1:7">
      <c r="A1930" s="6">
        <f>1928</f>
        <v>1928</v>
      </c>
      <c r="B1930" s="6" t="s">
        <v>1930</v>
      </c>
      <c r="C1930" s="6" t="s">
        <v>9</v>
      </c>
      <c r="D1930" s="6" t="s">
        <v>202</v>
      </c>
      <c r="E1930" s="6" t="s">
        <v>11</v>
      </c>
      <c r="F1930" s="6">
        <v>1</v>
      </c>
      <c r="G1930" s="6">
        <v>655</v>
      </c>
    </row>
    <row r="1931" s="2" customFormat="true" ht="22.5" customHeight="true" spans="1:7">
      <c r="A1931" s="6">
        <f>1929</f>
        <v>1929</v>
      </c>
      <c r="B1931" s="6" t="s">
        <v>1931</v>
      </c>
      <c r="C1931" s="6" t="s">
        <v>9</v>
      </c>
      <c r="D1931" s="6" t="s">
        <v>270</v>
      </c>
      <c r="E1931" s="6" t="s">
        <v>17</v>
      </c>
      <c r="F1931" s="6">
        <v>2</v>
      </c>
      <c r="G1931" s="6">
        <v>1127</v>
      </c>
    </row>
    <row r="1932" s="2" customFormat="true" ht="22.5" customHeight="true" spans="1:7">
      <c r="A1932" s="6">
        <f>1930</f>
        <v>1930</v>
      </c>
      <c r="B1932" s="6" t="s">
        <v>1932</v>
      </c>
      <c r="C1932" s="6" t="s">
        <v>9</v>
      </c>
      <c r="D1932" s="6" t="s">
        <v>49</v>
      </c>
      <c r="E1932" s="6" t="s">
        <v>17</v>
      </c>
      <c r="F1932" s="6">
        <v>1</v>
      </c>
      <c r="G1932" s="6">
        <v>656</v>
      </c>
    </row>
    <row r="1933" s="2" customFormat="true" ht="22.5" customHeight="true" spans="1:7">
      <c r="A1933" s="6">
        <f>1931</f>
        <v>1931</v>
      </c>
      <c r="B1933" s="6" t="s">
        <v>1933</v>
      </c>
      <c r="C1933" s="6" t="s">
        <v>9</v>
      </c>
      <c r="D1933" s="6" t="s">
        <v>230</v>
      </c>
      <c r="E1933" s="6" t="s">
        <v>17</v>
      </c>
      <c r="F1933" s="6">
        <v>1</v>
      </c>
      <c r="G1933" s="6">
        <v>736</v>
      </c>
    </row>
    <row r="1934" s="2" customFormat="true" ht="22.5" customHeight="true" spans="1:7">
      <c r="A1934" s="6">
        <f>1932</f>
        <v>1932</v>
      </c>
      <c r="B1934" s="6" t="s">
        <v>1934</v>
      </c>
      <c r="C1934" s="6" t="s">
        <v>9</v>
      </c>
      <c r="D1934" s="6" t="s">
        <v>16</v>
      </c>
      <c r="E1934" s="6" t="s">
        <v>11</v>
      </c>
      <c r="F1934" s="6">
        <v>1</v>
      </c>
      <c r="G1934" s="6">
        <v>594</v>
      </c>
    </row>
    <row r="1935" s="2" customFormat="true" ht="22.5" customHeight="true" spans="1:7">
      <c r="A1935" s="6">
        <f>1933</f>
        <v>1933</v>
      </c>
      <c r="B1935" s="6" t="s">
        <v>1935</v>
      </c>
      <c r="C1935" s="6" t="s">
        <v>9</v>
      </c>
      <c r="D1935" s="6" t="s">
        <v>117</v>
      </c>
      <c r="E1935" s="6" t="s">
        <v>17</v>
      </c>
      <c r="F1935" s="6">
        <v>2</v>
      </c>
      <c r="G1935" s="6">
        <v>1189</v>
      </c>
    </row>
    <row r="1936" s="2" customFormat="true" ht="22.5" customHeight="true" spans="1:7">
      <c r="A1936" s="6">
        <f>1934</f>
        <v>1934</v>
      </c>
      <c r="B1936" s="6" t="s">
        <v>1936</v>
      </c>
      <c r="C1936" s="6" t="s">
        <v>15</v>
      </c>
      <c r="D1936" s="6" t="s">
        <v>239</v>
      </c>
      <c r="E1936" s="6" t="s">
        <v>17</v>
      </c>
      <c r="F1936" s="6">
        <v>1</v>
      </c>
      <c r="G1936" s="6">
        <v>708</v>
      </c>
    </row>
    <row r="1937" s="2" customFormat="true" ht="22.5" customHeight="true" spans="1:7">
      <c r="A1937" s="6">
        <f>1935</f>
        <v>1935</v>
      </c>
      <c r="B1937" s="6" t="s">
        <v>1937</v>
      </c>
      <c r="C1937" s="6" t="s">
        <v>9</v>
      </c>
      <c r="D1937" s="6" t="s">
        <v>202</v>
      </c>
      <c r="E1937" s="6" t="s">
        <v>17</v>
      </c>
      <c r="F1937" s="6">
        <v>1</v>
      </c>
      <c r="G1937" s="6">
        <v>666</v>
      </c>
    </row>
    <row r="1938" s="2" customFormat="true" ht="22.5" customHeight="true" spans="1:7">
      <c r="A1938" s="6">
        <f>1936</f>
        <v>1936</v>
      </c>
      <c r="B1938" s="6" t="s">
        <v>1938</v>
      </c>
      <c r="C1938" s="6" t="s">
        <v>9</v>
      </c>
      <c r="D1938" s="6" t="s">
        <v>167</v>
      </c>
      <c r="E1938" s="6" t="s">
        <v>17</v>
      </c>
      <c r="F1938" s="6">
        <v>1</v>
      </c>
      <c r="G1938" s="6">
        <v>708</v>
      </c>
    </row>
    <row r="1939" s="2" customFormat="true" ht="22.5" customHeight="true" spans="1:7">
      <c r="A1939" s="6">
        <f>1937</f>
        <v>1937</v>
      </c>
      <c r="B1939" s="6" t="s">
        <v>1939</v>
      </c>
      <c r="C1939" s="6" t="s">
        <v>9</v>
      </c>
      <c r="D1939" s="6" t="s">
        <v>239</v>
      </c>
      <c r="E1939" s="6" t="s">
        <v>17</v>
      </c>
      <c r="F1939" s="6">
        <v>1</v>
      </c>
      <c r="G1939" s="6">
        <v>708</v>
      </c>
    </row>
    <row r="1940" s="2" customFormat="true" ht="22.5" customHeight="true" spans="1:7">
      <c r="A1940" s="6">
        <f>1938</f>
        <v>1938</v>
      </c>
      <c r="B1940" s="6" t="s">
        <v>1940</v>
      </c>
      <c r="C1940" s="6" t="s">
        <v>9</v>
      </c>
      <c r="D1940" s="6" t="s">
        <v>185</v>
      </c>
      <c r="E1940" s="6" t="s">
        <v>11</v>
      </c>
      <c r="F1940" s="6">
        <v>2</v>
      </c>
      <c r="G1940" s="6">
        <v>1037</v>
      </c>
    </row>
    <row r="1941" s="2" customFormat="true" ht="22.5" customHeight="true" spans="1:7">
      <c r="A1941" s="6">
        <f>1939</f>
        <v>1939</v>
      </c>
      <c r="B1941" s="6" t="s">
        <v>1941</v>
      </c>
      <c r="C1941" s="6" t="s">
        <v>9</v>
      </c>
      <c r="D1941" s="6" t="s">
        <v>16</v>
      </c>
      <c r="E1941" s="6" t="s">
        <v>17</v>
      </c>
      <c r="F1941" s="6">
        <v>1</v>
      </c>
      <c r="G1941" s="6">
        <v>690</v>
      </c>
    </row>
    <row r="1942" s="2" customFormat="true" ht="22.5" customHeight="true" spans="1:7">
      <c r="A1942" s="6">
        <f>1940</f>
        <v>1940</v>
      </c>
      <c r="B1942" s="6" t="s">
        <v>1942</v>
      </c>
      <c r="C1942" s="6" t="s">
        <v>9</v>
      </c>
      <c r="D1942" s="6" t="s">
        <v>167</v>
      </c>
      <c r="E1942" s="6" t="s">
        <v>17</v>
      </c>
      <c r="F1942" s="6">
        <v>3</v>
      </c>
      <c r="G1942" s="6">
        <v>1821</v>
      </c>
    </row>
    <row r="1943" s="2" customFormat="true" ht="22.5" customHeight="true" spans="1:7">
      <c r="A1943" s="6">
        <f>1941</f>
        <v>1941</v>
      </c>
      <c r="B1943" s="6" t="s">
        <v>1943</v>
      </c>
      <c r="C1943" s="6" t="s">
        <v>9</v>
      </c>
      <c r="D1943" s="6" t="s">
        <v>169</v>
      </c>
      <c r="E1943" s="6" t="s">
        <v>17</v>
      </c>
      <c r="F1943" s="6">
        <v>1</v>
      </c>
      <c r="G1943" s="6">
        <v>708</v>
      </c>
    </row>
    <row r="1944" s="2" customFormat="true" ht="22.5" customHeight="true" spans="1:7">
      <c r="A1944" s="6">
        <f>1942</f>
        <v>1942</v>
      </c>
      <c r="B1944" s="6" t="s">
        <v>1652</v>
      </c>
      <c r="C1944" s="6" t="s">
        <v>15</v>
      </c>
      <c r="D1944" s="6" t="s">
        <v>209</v>
      </c>
      <c r="E1944" s="6" t="s">
        <v>17</v>
      </c>
      <c r="F1944" s="6">
        <v>1</v>
      </c>
      <c r="G1944" s="6">
        <v>656</v>
      </c>
    </row>
    <row r="1945" s="2" customFormat="true" ht="22.5" customHeight="true" spans="1:7">
      <c r="A1945" s="6">
        <f>1943</f>
        <v>1943</v>
      </c>
      <c r="B1945" s="6" t="s">
        <v>1944</v>
      </c>
      <c r="C1945" s="6" t="s">
        <v>15</v>
      </c>
      <c r="D1945" s="6" t="s">
        <v>19</v>
      </c>
      <c r="E1945" s="6" t="s">
        <v>17</v>
      </c>
      <c r="F1945" s="6">
        <v>1</v>
      </c>
      <c r="G1945" s="6">
        <v>706</v>
      </c>
    </row>
    <row r="1946" s="2" customFormat="true" ht="22.5" customHeight="true" spans="1:7">
      <c r="A1946" s="6">
        <f>1944</f>
        <v>1944</v>
      </c>
      <c r="B1946" s="6" t="s">
        <v>1945</v>
      </c>
      <c r="C1946" s="6" t="s">
        <v>15</v>
      </c>
      <c r="D1946" s="6" t="s">
        <v>13</v>
      </c>
      <c r="E1946" s="6" t="s">
        <v>17</v>
      </c>
      <c r="F1946" s="6">
        <v>1</v>
      </c>
      <c r="G1946" s="6">
        <v>676</v>
      </c>
    </row>
    <row r="1947" s="2" customFormat="true" ht="22.5" customHeight="true" spans="1:7">
      <c r="A1947" s="6">
        <f>1945</f>
        <v>1945</v>
      </c>
      <c r="B1947" s="6" t="s">
        <v>1946</v>
      </c>
      <c r="C1947" s="6" t="s">
        <v>9</v>
      </c>
      <c r="D1947" s="6" t="s">
        <v>19</v>
      </c>
      <c r="E1947" s="6" t="s">
        <v>79</v>
      </c>
      <c r="F1947" s="6">
        <v>1</v>
      </c>
      <c r="G1947" s="6">
        <v>487</v>
      </c>
    </row>
    <row r="1948" s="2" customFormat="true" ht="22.5" customHeight="true" spans="1:7">
      <c r="A1948" s="6">
        <f>1946</f>
        <v>1946</v>
      </c>
      <c r="B1948" s="6" t="s">
        <v>1947</v>
      </c>
      <c r="C1948" s="6" t="s">
        <v>9</v>
      </c>
      <c r="D1948" s="6" t="s">
        <v>27</v>
      </c>
      <c r="E1948" s="6" t="s">
        <v>17</v>
      </c>
      <c r="F1948" s="6">
        <v>1</v>
      </c>
      <c r="G1948" s="6">
        <v>656</v>
      </c>
    </row>
    <row r="1949" s="2" customFormat="true" ht="22.5" customHeight="true" spans="1:7">
      <c r="A1949" s="6">
        <f>1947</f>
        <v>1947</v>
      </c>
      <c r="B1949" s="6" t="s">
        <v>1948</v>
      </c>
      <c r="C1949" s="6" t="s">
        <v>15</v>
      </c>
      <c r="D1949" s="6" t="s">
        <v>67</v>
      </c>
      <c r="E1949" s="6" t="s">
        <v>11</v>
      </c>
      <c r="F1949" s="6">
        <v>1</v>
      </c>
      <c r="G1949" s="6">
        <v>615</v>
      </c>
    </row>
    <row r="1950" s="2" customFormat="true" ht="22.5" customHeight="true" spans="1:7">
      <c r="A1950" s="6">
        <f>1948</f>
        <v>1948</v>
      </c>
      <c r="B1950" s="6" t="s">
        <v>1949</v>
      </c>
      <c r="C1950" s="6" t="s">
        <v>15</v>
      </c>
      <c r="D1950" s="6" t="s">
        <v>202</v>
      </c>
      <c r="E1950" s="6" t="s">
        <v>11</v>
      </c>
      <c r="F1950" s="6">
        <v>1</v>
      </c>
      <c r="G1950" s="6">
        <v>592</v>
      </c>
    </row>
    <row r="1951" s="2" customFormat="true" ht="22.5" customHeight="true" spans="1:7">
      <c r="A1951" s="6">
        <f>1949</f>
        <v>1949</v>
      </c>
      <c r="B1951" s="6" t="s">
        <v>1950</v>
      </c>
      <c r="C1951" s="6" t="s">
        <v>15</v>
      </c>
      <c r="D1951" s="6" t="s">
        <v>117</v>
      </c>
      <c r="E1951" s="6" t="s">
        <v>11</v>
      </c>
      <c r="F1951" s="6">
        <v>1</v>
      </c>
      <c r="G1951" s="6">
        <v>585</v>
      </c>
    </row>
    <row r="1952" s="2" customFormat="true" ht="22.5" customHeight="true" spans="1:7">
      <c r="A1952" s="6">
        <f>1950</f>
        <v>1950</v>
      </c>
      <c r="B1952" s="6" t="s">
        <v>1951</v>
      </c>
      <c r="C1952" s="6" t="s">
        <v>15</v>
      </c>
      <c r="D1952" s="6" t="s">
        <v>49</v>
      </c>
      <c r="E1952" s="6" t="s">
        <v>17</v>
      </c>
      <c r="F1952" s="6">
        <v>1</v>
      </c>
      <c r="G1952" s="6">
        <v>705</v>
      </c>
    </row>
    <row r="1953" s="2" customFormat="true" ht="22.5" customHeight="true" spans="1:7">
      <c r="A1953" s="6">
        <f>1951</f>
        <v>1951</v>
      </c>
      <c r="B1953" s="6" t="s">
        <v>1952</v>
      </c>
      <c r="C1953" s="6" t="s">
        <v>9</v>
      </c>
      <c r="D1953" s="6" t="s">
        <v>13</v>
      </c>
      <c r="E1953" s="6" t="s">
        <v>17</v>
      </c>
      <c r="F1953" s="6">
        <v>1</v>
      </c>
      <c r="G1953" s="6">
        <v>698</v>
      </c>
    </row>
    <row r="1954" s="2" customFormat="true" ht="22.5" customHeight="true" spans="1:7">
      <c r="A1954" s="6">
        <f>1952</f>
        <v>1952</v>
      </c>
      <c r="B1954" s="6" t="s">
        <v>1953</v>
      </c>
      <c r="C1954" s="6" t="s">
        <v>9</v>
      </c>
      <c r="D1954" s="6" t="s">
        <v>129</v>
      </c>
      <c r="E1954" s="6" t="s">
        <v>11</v>
      </c>
      <c r="F1954" s="6">
        <v>2</v>
      </c>
      <c r="G1954" s="6">
        <v>1164</v>
      </c>
    </row>
    <row r="1955" s="2" customFormat="true" ht="22.5" customHeight="true" spans="1:7">
      <c r="A1955" s="6">
        <f>1953</f>
        <v>1953</v>
      </c>
      <c r="B1955" s="6" t="s">
        <v>1898</v>
      </c>
      <c r="C1955" s="6" t="s">
        <v>15</v>
      </c>
      <c r="D1955" s="6" t="s">
        <v>49</v>
      </c>
      <c r="E1955" s="6" t="s">
        <v>79</v>
      </c>
      <c r="F1955" s="6">
        <v>1</v>
      </c>
      <c r="G1955" s="6">
        <v>642</v>
      </c>
    </row>
    <row r="1956" s="2" customFormat="true" ht="22.5" customHeight="true" spans="1:7">
      <c r="A1956" s="6">
        <f>1954</f>
        <v>1954</v>
      </c>
      <c r="B1956" s="6" t="s">
        <v>1954</v>
      </c>
      <c r="C1956" s="6" t="s">
        <v>9</v>
      </c>
      <c r="D1956" s="6" t="s">
        <v>169</v>
      </c>
      <c r="E1956" s="6" t="s">
        <v>17</v>
      </c>
      <c r="F1956" s="6">
        <v>2</v>
      </c>
      <c r="G1956" s="6">
        <v>1316</v>
      </c>
    </row>
    <row r="1957" s="2" customFormat="true" ht="22.5" customHeight="true" spans="1:7">
      <c r="A1957" s="6">
        <f>1955</f>
        <v>1955</v>
      </c>
      <c r="B1957" s="6" t="s">
        <v>1955</v>
      </c>
      <c r="C1957" s="6" t="s">
        <v>9</v>
      </c>
      <c r="D1957" s="6" t="s">
        <v>13</v>
      </c>
      <c r="E1957" s="6" t="s">
        <v>17</v>
      </c>
      <c r="F1957" s="6">
        <v>1</v>
      </c>
      <c r="G1957" s="6">
        <v>666</v>
      </c>
    </row>
    <row r="1958" s="2" customFormat="true" ht="22.5" customHeight="true" spans="1:7">
      <c r="A1958" s="6">
        <f>1956</f>
        <v>1956</v>
      </c>
      <c r="B1958" s="6" t="s">
        <v>1366</v>
      </c>
      <c r="C1958" s="6" t="s">
        <v>9</v>
      </c>
      <c r="D1958" s="6" t="s">
        <v>13</v>
      </c>
      <c r="E1958" s="6" t="s">
        <v>17</v>
      </c>
      <c r="F1958" s="6">
        <v>1</v>
      </c>
      <c r="G1958" s="6">
        <v>656</v>
      </c>
    </row>
    <row r="1959" s="2" customFormat="true" ht="22.5" customHeight="true" spans="1:7">
      <c r="A1959" s="6">
        <f>1957</f>
        <v>1957</v>
      </c>
      <c r="B1959" s="6" t="s">
        <v>1956</v>
      </c>
      <c r="C1959" s="6" t="s">
        <v>15</v>
      </c>
      <c r="D1959" s="6" t="s">
        <v>136</v>
      </c>
      <c r="E1959" s="6" t="s">
        <v>17</v>
      </c>
      <c r="F1959" s="6">
        <v>2</v>
      </c>
      <c r="G1959" s="6">
        <v>1284</v>
      </c>
    </row>
    <row r="1960" s="2" customFormat="true" ht="22.5" customHeight="true" spans="1:7">
      <c r="A1960" s="6">
        <f>1958</f>
        <v>1958</v>
      </c>
      <c r="B1960" s="6" t="s">
        <v>1957</v>
      </c>
      <c r="C1960" s="6" t="s">
        <v>15</v>
      </c>
      <c r="D1960" s="6" t="s">
        <v>122</v>
      </c>
      <c r="E1960" s="6" t="s">
        <v>11</v>
      </c>
      <c r="F1960" s="6">
        <v>2</v>
      </c>
      <c r="G1960" s="6">
        <v>962</v>
      </c>
    </row>
    <row r="1961" s="2" customFormat="true" ht="22.5" customHeight="true" spans="1:7">
      <c r="A1961" s="6">
        <f>1959</f>
        <v>1959</v>
      </c>
      <c r="B1961" s="6" t="s">
        <v>1958</v>
      </c>
      <c r="C1961" s="6" t="s">
        <v>15</v>
      </c>
      <c r="D1961" s="6" t="s">
        <v>138</v>
      </c>
      <c r="E1961" s="6" t="s">
        <v>11</v>
      </c>
      <c r="F1961" s="6">
        <v>1</v>
      </c>
      <c r="G1961" s="6">
        <v>597</v>
      </c>
    </row>
    <row r="1962" s="2" customFormat="true" ht="22.5" customHeight="true" spans="1:7">
      <c r="A1962" s="6">
        <f>1960</f>
        <v>1960</v>
      </c>
      <c r="B1962" s="6" t="s">
        <v>1959</v>
      </c>
      <c r="C1962" s="6" t="s">
        <v>15</v>
      </c>
      <c r="D1962" s="6" t="s">
        <v>202</v>
      </c>
      <c r="E1962" s="6" t="s">
        <v>17</v>
      </c>
      <c r="F1962" s="6">
        <v>1</v>
      </c>
      <c r="G1962" s="6">
        <v>706</v>
      </c>
    </row>
    <row r="1963" s="2" customFormat="true" ht="22.5" customHeight="true" spans="1:7">
      <c r="A1963" s="6">
        <f>1961</f>
        <v>1961</v>
      </c>
      <c r="B1963" s="6" t="s">
        <v>1960</v>
      </c>
      <c r="C1963" s="6" t="s">
        <v>15</v>
      </c>
      <c r="D1963" s="6" t="s">
        <v>209</v>
      </c>
      <c r="E1963" s="6" t="s">
        <v>17</v>
      </c>
      <c r="F1963" s="6">
        <v>1</v>
      </c>
      <c r="G1963" s="6">
        <v>744</v>
      </c>
    </row>
    <row r="1964" s="2" customFormat="true" ht="22.5" customHeight="true" spans="1:7">
      <c r="A1964" s="6">
        <f>1962</f>
        <v>1962</v>
      </c>
      <c r="B1964" s="6" t="s">
        <v>1961</v>
      </c>
      <c r="C1964" s="6" t="s">
        <v>15</v>
      </c>
      <c r="D1964" s="6" t="s">
        <v>27</v>
      </c>
      <c r="E1964" s="6" t="s">
        <v>17</v>
      </c>
      <c r="F1964" s="6">
        <v>1</v>
      </c>
      <c r="G1964" s="6">
        <v>706</v>
      </c>
    </row>
    <row r="1965" s="2" customFormat="true" ht="22.5" customHeight="true" spans="1:7">
      <c r="A1965" s="6">
        <f>1963</f>
        <v>1963</v>
      </c>
      <c r="B1965" s="6" t="s">
        <v>1962</v>
      </c>
      <c r="C1965" s="6" t="s">
        <v>9</v>
      </c>
      <c r="D1965" s="6" t="s">
        <v>138</v>
      </c>
      <c r="E1965" s="6" t="s">
        <v>17</v>
      </c>
      <c r="F1965" s="6">
        <v>1</v>
      </c>
      <c r="G1965" s="6">
        <v>686</v>
      </c>
    </row>
    <row r="1966" s="2" customFormat="true" ht="22.5" customHeight="true" spans="1:7">
      <c r="A1966" s="6">
        <f>1964</f>
        <v>1964</v>
      </c>
      <c r="B1966" s="6" t="s">
        <v>1963</v>
      </c>
      <c r="C1966" s="6" t="s">
        <v>9</v>
      </c>
      <c r="D1966" s="6" t="s">
        <v>13</v>
      </c>
      <c r="E1966" s="6" t="s">
        <v>11</v>
      </c>
      <c r="F1966" s="6">
        <v>1</v>
      </c>
      <c r="G1966" s="6">
        <v>633</v>
      </c>
    </row>
    <row r="1967" s="2" customFormat="true" ht="22.5" customHeight="true" spans="1:7">
      <c r="A1967" s="6">
        <f>1965</f>
        <v>1965</v>
      </c>
      <c r="B1967" s="6" t="s">
        <v>1964</v>
      </c>
      <c r="C1967" s="6" t="s">
        <v>15</v>
      </c>
      <c r="D1967" s="6" t="s">
        <v>230</v>
      </c>
      <c r="E1967" s="6" t="s">
        <v>11</v>
      </c>
      <c r="F1967" s="6">
        <v>2</v>
      </c>
      <c r="G1967" s="6">
        <v>1138</v>
      </c>
    </row>
    <row r="1968" s="2" customFormat="true" ht="22.5" customHeight="true" spans="1:7">
      <c r="A1968" s="6">
        <f>1966</f>
        <v>1966</v>
      </c>
      <c r="B1968" s="6" t="s">
        <v>1965</v>
      </c>
      <c r="C1968" s="6" t="s">
        <v>9</v>
      </c>
      <c r="D1968" s="6" t="s">
        <v>230</v>
      </c>
      <c r="E1968" s="6" t="s">
        <v>17</v>
      </c>
      <c r="F1968" s="6">
        <v>4</v>
      </c>
      <c r="G1968" s="6">
        <v>2381</v>
      </c>
    </row>
    <row r="1969" s="2" customFormat="true" ht="22.5" customHeight="true" spans="1:7">
      <c r="A1969" s="6">
        <f>1967</f>
        <v>1967</v>
      </c>
      <c r="B1969" s="6" t="s">
        <v>1966</v>
      </c>
      <c r="C1969" s="6" t="s">
        <v>9</v>
      </c>
      <c r="D1969" s="6" t="s">
        <v>67</v>
      </c>
      <c r="E1969" s="6" t="s">
        <v>11</v>
      </c>
      <c r="F1969" s="6">
        <v>2</v>
      </c>
      <c r="G1969" s="6">
        <v>994</v>
      </c>
    </row>
    <row r="1970" s="2" customFormat="true" ht="22.5" customHeight="true" spans="1:7">
      <c r="A1970" s="6">
        <f>1968</f>
        <v>1968</v>
      </c>
      <c r="B1970" s="6" t="s">
        <v>1967</v>
      </c>
      <c r="C1970" s="6" t="s">
        <v>15</v>
      </c>
      <c r="D1970" s="6" t="s">
        <v>146</v>
      </c>
      <c r="E1970" s="6" t="s">
        <v>17</v>
      </c>
      <c r="F1970" s="6">
        <v>1</v>
      </c>
      <c r="G1970" s="6">
        <v>708</v>
      </c>
    </row>
    <row r="1971" s="2" customFormat="true" ht="22.5" customHeight="true" spans="1:7">
      <c r="A1971" s="6">
        <f>1969</f>
        <v>1969</v>
      </c>
      <c r="B1971" s="6" t="s">
        <v>1968</v>
      </c>
      <c r="C1971" s="6" t="s">
        <v>15</v>
      </c>
      <c r="D1971" s="6" t="s">
        <v>27</v>
      </c>
      <c r="E1971" s="6" t="s">
        <v>17</v>
      </c>
      <c r="F1971" s="6">
        <v>2</v>
      </c>
      <c r="G1971" s="6">
        <v>1383</v>
      </c>
    </row>
    <row r="1972" s="2" customFormat="true" ht="22.5" customHeight="true" spans="1:7">
      <c r="A1972" s="6">
        <f>1970</f>
        <v>1970</v>
      </c>
      <c r="B1972" s="6" t="s">
        <v>1969</v>
      </c>
      <c r="C1972" s="6" t="s">
        <v>15</v>
      </c>
      <c r="D1972" s="6" t="s">
        <v>260</v>
      </c>
      <c r="E1972" s="6" t="s">
        <v>11</v>
      </c>
      <c r="F1972" s="6">
        <v>2</v>
      </c>
      <c r="G1972" s="6">
        <v>1113</v>
      </c>
    </row>
    <row r="1973" s="2" customFormat="true" ht="22.5" customHeight="true" spans="1:7">
      <c r="A1973" s="6">
        <f>1971</f>
        <v>1971</v>
      </c>
      <c r="B1973" s="6" t="s">
        <v>1970</v>
      </c>
      <c r="C1973" s="6" t="s">
        <v>9</v>
      </c>
      <c r="D1973" s="6" t="s">
        <v>104</v>
      </c>
      <c r="E1973" s="6" t="s">
        <v>11</v>
      </c>
      <c r="F1973" s="6">
        <v>2</v>
      </c>
      <c r="G1973" s="6">
        <v>1188</v>
      </c>
    </row>
    <row r="1974" s="2" customFormat="true" ht="22.5" customHeight="true" spans="1:7">
      <c r="A1974" s="6">
        <f>1972</f>
        <v>1972</v>
      </c>
      <c r="B1974" s="6" t="s">
        <v>1971</v>
      </c>
      <c r="C1974" s="6" t="s">
        <v>9</v>
      </c>
      <c r="D1974" s="6" t="s">
        <v>239</v>
      </c>
      <c r="E1974" s="6" t="s">
        <v>17</v>
      </c>
      <c r="F1974" s="6">
        <v>2</v>
      </c>
      <c r="G1974" s="6">
        <v>1178</v>
      </c>
    </row>
    <row r="1975" s="2" customFormat="true" ht="22.5" customHeight="true" spans="1:7">
      <c r="A1975" s="6">
        <f>1973</f>
        <v>1973</v>
      </c>
      <c r="B1975" s="6" t="s">
        <v>1972</v>
      </c>
      <c r="C1975" s="6" t="s">
        <v>9</v>
      </c>
      <c r="D1975" s="6" t="s">
        <v>222</v>
      </c>
      <c r="E1975" s="6" t="s">
        <v>11</v>
      </c>
      <c r="F1975" s="6">
        <v>1</v>
      </c>
      <c r="G1975" s="6">
        <v>632</v>
      </c>
    </row>
    <row r="1976" s="2" customFormat="true" ht="22.5" customHeight="true" spans="1:7">
      <c r="A1976" s="6">
        <f>1974</f>
        <v>1974</v>
      </c>
      <c r="B1976" s="6" t="s">
        <v>1973</v>
      </c>
      <c r="C1976" s="6" t="s">
        <v>9</v>
      </c>
      <c r="D1976" s="6" t="s">
        <v>146</v>
      </c>
      <c r="E1976" s="6" t="s">
        <v>11</v>
      </c>
      <c r="F1976" s="6">
        <v>3</v>
      </c>
      <c r="G1976" s="6">
        <v>1594</v>
      </c>
    </row>
    <row r="1977" s="2" customFormat="true" ht="22.5" customHeight="true" spans="1:7">
      <c r="A1977" s="6">
        <f>1975</f>
        <v>1975</v>
      </c>
      <c r="B1977" s="6" t="s">
        <v>1974</v>
      </c>
      <c r="C1977" s="6" t="s">
        <v>9</v>
      </c>
      <c r="D1977" s="6" t="s">
        <v>169</v>
      </c>
      <c r="E1977" s="6" t="s">
        <v>17</v>
      </c>
      <c r="F1977" s="6">
        <v>2</v>
      </c>
      <c r="G1977" s="6">
        <v>1254</v>
      </c>
    </row>
    <row r="1978" s="2" customFormat="true" ht="22.5" customHeight="true" spans="1:7">
      <c r="A1978" s="6">
        <f>1976</f>
        <v>1976</v>
      </c>
      <c r="B1978" s="6" t="s">
        <v>1975</v>
      </c>
      <c r="C1978" s="6" t="s">
        <v>9</v>
      </c>
      <c r="D1978" s="6" t="s">
        <v>143</v>
      </c>
      <c r="E1978" s="6" t="s">
        <v>17</v>
      </c>
      <c r="F1978" s="6">
        <v>2</v>
      </c>
      <c r="G1978" s="6">
        <v>1127</v>
      </c>
    </row>
    <row r="1979" s="2" customFormat="true" ht="22.5" customHeight="true" spans="1:7">
      <c r="A1979" s="6">
        <f>1977</f>
        <v>1977</v>
      </c>
      <c r="B1979" s="6" t="s">
        <v>1976</v>
      </c>
      <c r="C1979" s="6" t="s">
        <v>9</v>
      </c>
      <c r="D1979" s="6" t="s">
        <v>117</v>
      </c>
      <c r="E1979" s="6" t="s">
        <v>17</v>
      </c>
      <c r="F1979" s="6">
        <v>1</v>
      </c>
      <c r="G1979" s="6">
        <v>686</v>
      </c>
    </row>
    <row r="1980" s="2" customFormat="true" ht="22.5" customHeight="true" spans="1:7">
      <c r="A1980" s="6">
        <f>1978</f>
        <v>1978</v>
      </c>
      <c r="B1980" s="6" t="s">
        <v>1977</v>
      </c>
      <c r="C1980" s="6" t="s">
        <v>15</v>
      </c>
      <c r="D1980" s="6" t="s">
        <v>143</v>
      </c>
      <c r="E1980" s="6" t="s">
        <v>17</v>
      </c>
      <c r="F1980" s="6">
        <v>1</v>
      </c>
      <c r="G1980" s="6">
        <v>708</v>
      </c>
    </row>
    <row r="1981" s="2" customFormat="true" ht="22.5" customHeight="true" spans="1:7">
      <c r="A1981" s="6">
        <f>1979</f>
        <v>1979</v>
      </c>
      <c r="B1981" s="6" t="s">
        <v>1978</v>
      </c>
      <c r="C1981" s="6" t="s">
        <v>15</v>
      </c>
      <c r="D1981" s="6" t="s">
        <v>146</v>
      </c>
      <c r="E1981" s="6" t="s">
        <v>17</v>
      </c>
      <c r="F1981" s="6">
        <v>1</v>
      </c>
      <c r="G1981" s="6">
        <v>708</v>
      </c>
    </row>
    <row r="1982" s="2" customFormat="true" ht="22.5" customHeight="true" spans="1:7">
      <c r="A1982" s="6">
        <f>1980</f>
        <v>1980</v>
      </c>
      <c r="B1982" s="6" t="s">
        <v>1979</v>
      </c>
      <c r="C1982" s="6" t="s">
        <v>15</v>
      </c>
      <c r="D1982" s="6" t="s">
        <v>35</v>
      </c>
      <c r="E1982" s="6" t="s">
        <v>17</v>
      </c>
      <c r="F1982" s="6">
        <v>1</v>
      </c>
      <c r="G1982" s="6">
        <v>674</v>
      </c>
    </row>
    <row r="1983" s="2" customFormat="true" ht="22.5" customHeight="true" spans="1:7">
      <c r="A1983" s="6">
        <f>1981</f>
        <v>1981</v>
      </c>
      <c r="B1983" s="6" t="s">
        <v>1980</v>
      </c>
      <c r="C1983" s="6" t="s">
        <v>9</v>
      </c>
      <c r="D1983" s="6" t="s">
        <v>192</v>
      </c>
      <c r="E1983" s="6" t="s">
        <v>17</v>
      </c>
      <c r="F1983" s="6">
        <v>2</v>
      </c>
      <c r="G1983" s="6">
        <v>1380</v>
      </c>
    </row>
    <row r="1984" s="2" customFormat="true" ht="22.5" customHeight="true" spans="1:7">
      <c r="A1984" s="6">
        <f>1982</f>
        <v>1982</v>
      </c>
      <c r="B1984" s="6" t="s">
        <v>1981</v>
      </c>
      <c r="C1984" s="6" t="s">
        <v>9</v>
      </c>
      <c r="D1984" s="6" t="s">
        <v>416</v>
      </c>
      <c r="E1984" s="6" t="s">
        <v>17</v>
      </c>
      <c r="F1984" s="6">
        <v>1</v>
      </c>
      <c r="G1984" s="6">
        <v>708</v>
      </c>
    </row>
    <row r="1985" s="2" customFormat="true" ht="22.5" customHeight="true" spans="1:7">
      <c r="A1985" s="6">
        <f>1983</f>
        <v>1983</v>
      </c>
      <c r="B1985" s="6" t="s">
        <v>1982</v>
      </c>
      <c r="C1985" s="6" t="s">
        <v>15</v>
      </c>
      <c r="D1985" s="6" t="s">
        <v>117</v>
      </c>
      <c r="E1985" s="6" t="s">
        <v>79</v>
      </c>
      <c r="F1985" s="6">
        <v>2</v>
      </c>
      <c r="G1985" s="6">
        <v>962</v>
      </c>
    </row>
    <row r="1986" s="2" customFormat="true" ht="22.5" customHeight="true" spans="1:7">
      <c r="A1986" s="6">
        <f>1984</f>
        <v>1984</v>
      </c>
      <c r="B1986" s="6" t="s">
        <v>1983</v>
      </c>
      <c r="C1986" s="6" t="s">
        <v>15</v>
      </c>
      <c r="D1986" s="6" t="s">
        <v>260</v>
      </c>
      <c r="E1986" s="6" t="s">
        <v>17</v>
      </c>
      <c r="F1986" s="6">
        <v>3</v>
      </c>
      <c r="G1986" s="6">
        <v>1578</v>
      </c>
    </row>
    <row r="1987" s="2" customFormat="true" ht="22.5" customHeight="true" spans="1:7">
      <c r="A1987" s="6">
        <f>1985</f>
        <v>1985</v>
      </c>
      <c r="B1987" s="6" t="s">
        <v>1984</v>
      </c>
      <c r="C1987" s="6" t="s">
        <v>15</v>
      </c>
      <c r="D1987" s="6" t="s">
        <v>416</v>
      </c>
      <c r="E1987" s="6" t="s">
        <v>17</v>
      </c>
      <c r="F1987" s="6">
        <v>4</v>
      </c>
      <c r="G1987" s="6">
        <v>2129</v>
      </c>
    </row>
    <row r="1988" s="2" customFormat="true" ht="22.5" customHeight="true" spans="1:7">
      <c r="A1988" s="6">
        <f>1986</f>
        <v>1986</v>
      </c>
      <c r="B1988" s="6" t="s">
        <v>1985</v>
      </c>
      <c r="C1988" s="6" t="s">
        <v>15</v>
      </c>
      <c r="D1988" s="6" t="s">
        <v>222</v>
      </c>
      <c r="E1988" s="6" t="s">
        <v>17</v>
      </c>
      <c r="F1988" s="6">
        <v>1</v>
      </c>
      <c r="G1988" s="6">
        <v>708</v>
      </c>
    </row>
    <row r="1989" s="2" customFormat="true" ht="22.5" customHeight="true" spans="1:7">
      <c r="A1989" s="6">
        <f>1987</f>
        <v>1987</v>
      </c>
      <c r="B1989" s="6" t="s">
        <v>1986</v>
      </c>
      <c r="C1989" s="6" t="s">
        <v>15</v>
      </c>
      <c r="D1989" s="6" t="s">
        <v>167</v>
      </c>
      <c r="E1989" s="6" t="s">
        <v>11</v>
      </c>
      <c r="F1989" s="6">
        <v>1</v>
      </c>
      <c r="G1989" s="6">
        <v>632</v>
      </c>
    </row>
    <row r="1990" s="2" customFormat="true" ht="22.5" customHeight="true" spans="1:7">
      <c r="A1990" s="6">
        <f>1988</f>
        <v>1988</v>
      </c>
      <c r="B1990" s="6" t="s">
        <v>1987</v>
      </c>
      <c r="C1990" s="6" t="s">
        <v>9</v>
      </c>
      <c r="D1990" s="6" t="s">
        <v>16</v>
      </c>
      <c r="E1990" s="6" t="s">
        <v>17</v>
      </c>
      <c r="F1990" s="6">
        <v>1</v>
      </c>
      <c r="G1990" s="6">
        <v>690</v>
      </c>
    </row>
    <row r="1991" s="2" customFormat="true" ht="22.5" customHeight="true" spans="1:7">
      <c r="A1991" s="6">
        <f>1989</f>
        <v>1989</v>
      </c>
      <c r="B1991" s="6" t="s">
        <v>1988</v>
      </c>
      <c r="C1991" s="6" t="s">
        <v>15</v>
      </c>
      <c r="D1991" s="6" t="s">
        <v>167</v>
      </c>
      <c r="E1991" s="6" t="s">
        <v>17</v>
      </c>
      <c r="F1991" s="6">
        <v>1</v>
      </c>
      <c r="G1991" s="6">
        <v>708</v>
      </c>
    </row>
    <row r="1992" s="2" customFormat="true" ht="22.5" customHeight="true" spans="1:7">
      <c r="A1992" s="6">
        <f>1990</f>
        <v>1990</v>
      </c>
      <c r="B1992" s="6" t="s">
        <v>1989</v>
      </c>
      <c r="C1992" s="6" t="s">
        <v>15</v>
      </c>
      <c r="D1992" s="6" t="s">
        <v>13</v>
      </c>
      <c r="E1992" s="6" t="s">
        <v>11</v>
      </c>
      <c r="F1992" s="6">
        <v>1</v>
      </c>
      <c r="G1992" s="6">
        <v>622</v>
      </c>
    </row>
    <row r="1993" s="2" customFormat="true" ht="22.5" customHeight="true" spans="1:7">
      <c r="A1993" s="6">
        <f>1991</f>
        <v>1991</v>
      </c>
      <c r="B1993" s="6" t="s">
        <v>1990</v>
      </c>
      <c r="C1993" s="6" t="s">
        <v>9</v>
      </c>
      <c r="D1993" s="6" t="s">
        <v>133</v>
      </c>
      <c r="E1993" s="6" t="s">
        <v>17</v>
      </c>
      <c r="F1993" s="6">
        <v>2</v>
      </c>
      <c r="G1993" s="6">
        <v>1340</v>
      </c>
    </row>
    <row r="1994" s="2" customFormat="true" ht="22.5" customHeight="true" spans="1:7">
      <c r="A1994" s="6">
        <f>1992</f>
        <v>1992</v>
      </c>
      <c r="B1994" s="6" t="s">
        <v>871</v>
      </c>
      <c r="C1994" s="6" t="s">
        <v>9</v>
      </c>
      <c r="D1994" s="6" t="s">
        <v>260</v>
      </c>
      <c r="E1994" s="6" t="s">
        <v>17</v>
      </c>
      <c r="F1994" s="6">
        <v>4</v>
      </c>
      <c r="G1994" s="6">
        <v>1929</v>
      </c>
    </row>
    <row r="1995" s="2" customFormat="true" ht="22.5" customHeight="true" spans="1:7">
      <c r="A1995" s="6">
        <f>1993</f>
        <v>1993</v>
      </c>
      <c r="B1995" s="6" t="s">
        <v>1991</v>
      </c>
      <c r="C1995" s="6" t="s">
        <v>9</v>
      </c>
      <c r="D1995" s="6" t="s">
        <v>222</v>
      </c>
      <c r="E1995" s="6" t="s">
        <v>17</v>
      </c>
      <c r="F1995" s="6">
        <v>1</v>
      </c>
      <c r="G1995" s="6">
        <v>708</v>
      </c>
    </row>
    <row r="1996" s="2" customFormat="true" ht="22.5" customHeight="true" spans="1:7">
      <c r="A1996" s="6">
        <f>1994</f>
        <v>1994</v>
      </c>
      <c r="B1996" s="6" t="s">
        <v>1992</v>
      </c>
      <c r="C1996" s="6" t="s">
        <v>9</v>
      </c>
      <c r="D1996" s="6" t="s">
        <v>133</v>
      </c>
      <c r="E1996" s="6" t="s">
        <v>17</v>
      </c>
      <c r="F1996" s="6">
        <v>4</v>
      </c>
      <c r="G1996" s="6">
        <v>2453</v>
      </c>
    </row>
    <row r="1997" s="2" customFormat="true" ht="22.5" customHeight="true" spans="1:7">
      <c r="A1997" s="6">
        <f>1995</f>
        <v>1995</v>
      </c>
      <c r="B1997" s="6" t="s">
        <v>1993</v>
      </c>
      <c r="C1997" s="6" t="s">
        <v>9</v>
      </c>
      <c r="D1997" s="6" t="s">
        <v>416</v>
      </c>
      <c r="E1997" s="6" t="s">
        <v>79</v>
      </c>
      <c r="F1997" s="6">
        <v>1</v>
      </c>
      <c r="G1997" s="6">
        <v>481</v>
      </c>
    </row>
    <row r="1998" s="2" customFormat="true" ht="22.5" customHeight="true" spans="1:7">
      <c r="A1998" s="6">
        <f>1996</f>
        <v>1996</v>
      </c>
      <c r="B1998" s="6" t="s">
        <v>1994</v>
      </c>
      <c r="C1998" s="6" t="s">
        <v>9</v>
      </c>
      <c r="D1998" s="6" t="s">
        <v>138</v>
      </c>
      <c r="E1998" s="6" t="s">
        <v>11</v>
      </c>
      <c r="F1998" s="6">
        <v>2</v>
      </c>
      <c r="G1998" s="6">
        <v>1190</v>
      </c>
    </row>
    <row r="1999" s="2" customFormat="true" ht="22.5" customHeight="true" spans="1:7">
      <c r="A1999" s="6">
        <f>1997</f>
        <v>1997</v>
      </c>
      <c r="B1999" s="6" t="s">
        <v>1995</v>
      </c>
      <c r="C1999" s="6" t="s">
        <v>15</v>
      </c>
      <c r="D1999" s="6" t="s">
        <v>13</v>
      </c>
      <c r="E1999" s="6" t="s">
        <v>17</v>
      </c>
      <c r="F1999" s="6">
        <v>1</v>
      </c>
      <c r="G1999" s="6">
        <v>636</v>
      </c>
    </row>
    <row r="2000" s="2" customFormat="true" ht="22.5" customHeight="true" spans="1:7">
      <c r="A2000" s="6">
        <f>1998</f>
        <v>1998</v>
      </c>
      <c r="B2000" s="6" t="s">
        <v>1996</v>
      </c>
      <c r="C2000" s="6" t="s">
        <v>9</v>
      </c>
      <c r="D2000" s="6" t="s">
        <v>202</v>
      </c>
      <c r="E2000" s="6" t="s">
        <v>17</v>
      </c>
      <c r="F2000" s="6">
        <v>3</v>
      </c>
      <c r="G2000" s="6">
        <v>1699</v>
      </c>
    </row>
    <row r="2001" s="2" customFormat="true" ht="22.5" customHeight="true" spans="1:7">
      <c r="A2001" s="6">
        <f>1999</f>
        <v>1999</v>
      </c>
      <c r="B2001" s="6" t="s">
        <v>1997</v>
      </c>
      <c r="C2001" s="6" t="s">
        <v>15</v>
      </c>
      <c r="D2001" s="6" t="s">
        <v>16</v>
      </c>
      <c r="E2001" s="6" t="s">
        <v>17</v>
      </c>
      <c r="F2001" s="6">
        <v>1</v>
      </c>
      <c r="G2001" s="6">
        <v>690</v>
      </c>
    </row>
    <row r="2002" s="2" customFormat="true" ht="22.5" customHeight="true" spans="1:7">
      <c r="A2002" s="6">
        <f>2000</f>
        <v>2000</v>
      </c>
      <c r="B2002" s="6" t="s">
        <v>1998</v>
      </c>
      <c r="C2002" s="6" t="s">
        <v>15</v>
      </c>
      <c r="D2002" s="6" t="s">
        <v>131</v>
      </c>
      <c r="E2002" s="6" t="s">
        <v>11</v>
      </c>
      <c r="F2002" s="6">
        <v>1</v>
      </c>
      <c r="G2002" s="6">
        <v>584</v>
      </c>
    </row>
    <row r="2003" s="2" customFormat="true" ht="22.5" customHeight="true" spans="1:7">
      <c r="A2003" s="6">
        <f>2001</f>
        <v>2001</v>
      </c>
      <c r="B2003" s="6" t="s">
        <v>1999</v>
      </c>
      <c r="C2003" s="6" t="s">
        <v>15</v>
      </c>
      <c r="D2003" s="6" t="s">
        <v>239</v>
      </c>
      <c r="E2003" s="6" t="s">
        <v>11</v>
      </c>
      <c r="F2003" s="6">
        <v>1</v>
      </c>
      <c r="G2003" s="6">
        <v>584</v>
      </c>
    </row>
    <row r="2004" s="2" customFormat="true" ht="22.5" customHeight="true" spans="1:7">
      <c r="A2004" s="6">
        <f>2002</f>
        <v>2002</v>
      </c>
      <c r="B2004" s="6" t="s">
        <v>2000</v>
      </c>
      <c r="C2004" s="6" t="s">
        <v>15</v>
      </c>
      <c r="D2004" s="6" t="s">
        <v>129</v>
      </c>
      <c r="E2004" s="6" t="s">
        <v>17</v>
      </c>
      <c r="F2004" s="6">
        <v>4</v>
      </c>
      <c r="G2004" s="6">
        <v>1978</v>
      </c>
    </row>
    <row r="2005" s="2" customFormat="true" ht="22.5" customHeight="true" spans="1:7">
      <c r="A2005" s="6">
        <f>2003</f>
        <v>2003</v>
      </c>
      <c r="B2005" s="6" t="s">
        <v>516</v>
      </c>
      <c r="C2005" s="6" t="s">
        <v>9</v>
      </c>
      <c r="D2005" s="6" t="s">
        <v>280</v>
      </c>
      <c r="E2005" s="6" t="s">
        <v>17</v>
      </c>
      <c r="F2005" s="6">
        <v>2</v>
      </c>
      <c r="G2005" s="6">
        <v>1178</v>
      </c>
    </row>
    <row r="2006" s="2" customFormat="true" ht="22.5" customHeight="true" spans="1:7">
      <c r="A2006" s="6">
        <f>2004</f>
        <v>2004</v>
      </c>
      <c r="B2006" s="6" t="s">
        <v>2001</v>
      </c>
      <c r="C2006" s="6" t="s">
        <v>15</v>
      </c>
      <c r="D2006" s="6" t="s">
        <v>143</v>
      </c>
      <c r="E2006" s="6" t="s">
        <v>17</v>
      </c>
      <c r="F2006" s="6">
        <v>2</v>
      </c>
      <c r="G2006" s="6">
        <v>1178</v>
      </c>
    </row>
    <row r="2007" s="2" customFormat="true" ht="22.5" customHeight="true" spans="1:7">
      <c r="A2007" s="6">
        <f>2005</f>
        <v>2005</v>
      </c>
      <c r="B2007" s="6" t="s">
        <v>2002</v>
      </c>
      <c r="C2007" s="6" t="s">
        <v>9</v>
      </c>
      <c r="D2007" s="6" t="s">
        <v>159</v>
      </c>
      <c r="E2007" s="6" t="s">
        <v>17</v>
      </c>
      <c r="F2007" s="6">
        <v>2</v>
      </c>
      <c r="G2007" s="6">
        <v>1178</v>
      </c>
    </row>
    <row r="2008" s="2" customFormat="true" ht="22.5" customHeight="true" spans="1:7">
      <c r="A2008" s="6">
        <f>2006</f>
        <v>2006</v>
      </c>
      <c r="B2008" s="6" t="s">
        <v>2003</v>
      </c>
      <c r="C2008" s="6" t="s">
        <v>9</v>
      </c>
      <c r="D2008" s="6" t="s">
        <v>129</v>
      </c>
      <c r="E2008" s="6" t="s">
        <v>17</v>
      </c>
      <c r="F2008" s="6">
        <v>2</v>
      </c>
      <c r="G2008" s="6">
        <v>1244</v>
      </c>
    </row>
    <row r="2009" s="2" customFormat="true" ht="22.5" customHeight="true" spans="1:7">
      <c r="A2009" s="6">
        <f>2007</f>
        <v>2007</v>
      </c>
      <c r="B2009" s="6" t="s">
        <v>2004</v>
      </c>
      <c r="C2009" s="6" t="s">
        <v>9</v>
      </c>
      <c r="D2009" s="6" t="s">
        <v>280</v>
      </c>
      <c r="E2009" s="6" t="s">
        <v>17</v>
      </c>
      <c r="F2009" s="6">
        <v>2</v>
      </c>
      <c r="G2009" s="6">
        <v>1178</v>
      </c>
    </row>
    <row r="2010" s="2" customFormat="true" ht="22.5" customHeight="true" spans="1:7">
      <c r="A2010" s="6">
        <f>2008</f>
        <v>2008</v>
      </c>
      <c r="B2010" s="6" t="s">
        <v>2005</v>
      </c>
      <c r="C2010" s="6" t="s">
        <v>9</v>
      </c>
      <c r="D2010" s="6" t="s">
        <v>270</v>
      </c>
      <c r="E2010" s="6" t="s">
        <v>17</v>
      </c>
      <c r="F2010" s="6">
        <v>1</v>
      </c>
      <c r="G2010" s="6">
        <v>660</v>
      </c>
    </row>
    <row r="2011" s="2" customFormat="true" ht="22.5" customHeight="true" spans="1:7">
      <c r="A2011" s="6">
        <f>2009</f>
        <v>2009</v>
      </c>
      <c r="B2011" s="6" t="s">
        <v>2006</v>
      </c>
      <c r="C2011" s="6" t="s">
        <v>15</v>
      </c>
      <c r="D2011" s="6" t="s">
        <v>122</v>
      </c>
      <c r="E2011" s="6" t="s">
        <v>17</v>
      </c>
      <c r="F2011" s="6">
        <v>2</v>
      </c>
      <c r="G2011" s="6">
        <v>1178</v>
      </c>
    </row>
    <row r="2012" s="2" customFormat="true" ht="22.5" customHeight="true" spans="1:7">
      <c r="A2012" s="6">
        <f>2010</f>
        <v>2010</v>
      </c>
      <c r="B2012" s="6" t="s">
        <v>2007</v>
      </c>
      <c r="C2012" s="6" t="s">
        <v>9</v>
      </c>
      <c r="D2012" s="6" t="s">
        <v>188</v>
      </c>
      <c r="E2012" s="6" t="s">
        <v>17</v>
      </c>
      <c r="F2012" s="6">
        <v>1</v>
      </c>
      <c r="G2012" s="6">
        <v>400</v>
      </c>
    </row>
    <row r="2013" s="2" customFormat="true" ht="22.5" customHeight="true" spans="1:7">
      <c r="A2013" s="6">
        <f>2011</f>
        <v>2011</v>
      </c>
      <c r="B2013" s="6" t="s">
        <v>2008</v>
      </c>
      <c r="C2013" s="6" t="s">
        <v>9</v>
      </c>
      <c r="D2013" s="6" t="s">
        <v>188</v>
      </c>
      <c r="E2013" s="6" t="s">
        <v>17</v>
      </c>
      <c r="F2013" s="6">
        <v>3</v>
      </c>
      <c r="G2013" s="6">
        <v>1677</v>
      </c>
    </row>
    <row r="2014" s="2" customFormat="true" ht="22.5" customHeight="true" spans="1:7">
      <c r="A2014" s="6">
        <f>2012</f>
        <v>2012</v>
      </c>
      <c r="B2014" s="6" t="s">
        <v>2009</v>
      </c>
      <c r="C2014" s="6" t="s">
        <v>15</v>
      </c>
      <c r="D2014" s="6" t="s">
        <v>185</v>
      </c>
      <c r="E2014" s="6" t="s">
        <v>17</v>
      </c>
      <c r="F2014" s="6">
        <v>1</v>
      </c>
      <c r="G2014" s="6">
        <v>690</v>
      </c>
    </row>
    <row r="2015" s="2" customFormat="true" ht="22.5" customHeight="true" spans="1:7">
      <c r="A2015" s="6">
        <f>2013</f>
        <v>2013</v>
      </c>
      <c r="B2015" s="6" t="s">
        <v>2010</v>
      </c>
      <c r="C2015" s="6" t="s">
        <v>9</v>
      </c>
      <c r="D2015" s="6" t="s">
        <v>131</v>
      </c>
      <c r="E2015" s="6" t="s">
        <v>17</v>
      </c>
      <c r="F2015" s="6">
        <v>2</v>
      </c>
      <c r="G2015" s="6">
        <v>1244</v>
      </c>
    </row>
    <row r="2016" s="2" customFormat="true" ht="22.5" customHeight="true" spans="1:7">
      <c r="A2016" s="6">
        <f>2014</f>
        <v>2014</v>
      </c>
      <c r="B2016" s="6" t="s">
        <v>2011</v>
      </c>
      <c r="C2016" s="6" t="s">
        <v>9</v>
      </c>
      <c r="D2016" s="6" t="s">
        <v>169</v>
      </c>
      <c r="E2016" s="6" t="s">
        <v>17</v>
      </c>
      <c r="F2016" s="6">
        <v>1</v>
      </c>
      <c r="G2016" s="6">
        <v>660</v>
      </c>
    </row>
    <row r="2017" s="2" customFormat="true" ht="22.5" customHeight="true" spans="1:7">
      <c r="A2017" s="6">
        <f>2015</f>
        <v>2015</v>
      </c>
      <c r="B2017" s="6" t="s">
        <v>2012</v>
      </c>
      <c r="C2017" s="6" t="s">
        <v>9</v>
      </c>
      <c r="D2017" s="6" t="s">
        <v>129</v>
      </c>
      <c r="E2017" s="6" t="s">
        <v>17</v>
      </c>
      <c r="F2017" s="6">
        <v>3</v>
      </c>
      <c r="G2017" s="6">
        <v>1677</v>
      </c>
    </row>
    <row r="2018" s="2" customFormat="true" ht="22.5" customHeight="true" spans="1:7">
      <c r="A2018" s="6">
        <f>2016</f>
        <v>2016</v>
      </c>
      <c r="B2018" s="6" t="s">
        <v>2013</v>
      </c>
      <c r="C2018" s="6" t="s">
        <v>9</v>
      </c>
      <c r="D2018" s="6" t="s">
        <v>129</v>
      </c>
      <c r="E2018" s="6" t="s">
        <v>79</v>
      </c>
      <c r="F2018" s="6">
        <v>1</v>
      </c>
      <c r="G2018" s="6">
        <v>533</v>
      </c>
    </row>
    <row r="2019" s="2" customFormat="true" ht="22.5" customHeight="true" spans="1:7">
      <c r="A2019" s="6">
        <f>2017</f>
        <v>2017</v>
      </c>
      <c r="B2019" s="6" t="s">
        <v>2014</v>
      </c>
      <c r="C2019" s="6" t="s">
        <v>9</v>
      </c>
      <c r="D2019" s="6" t="s">
        <v>270</v>
      </c>
      <c r="E2019" s="6" t="s">
        <v>17</v>
      </c>
      <c r="F2019" s="6">
        <v>1</v>
      </c>
      <c r="G2019" s="6">
        <v>660</v>
      </c>
    </row>
    <row r="2020" s="2" customFormat="true" ht="22.5" customHeight="true" spans="1:7">
      <c r="A2020" s="6">
        <f>2018</f>
        <v>2018</v>
      </c>
      <c r="B2020" s="6" t="s">
        <v>2015</v>
      </c>
      <c r="C2020" s="6" t="s">
        <v>9</v>
      </c>
      <c r="D2020" s="6" t="s">
        <v>185</v>
      </c>
      <c r="E2020" s="6" t="s">
        <v>17</v>
      </c>
      <c r="F2020" s="6">
        <v>1</v>
      </c>
      <c r="G2020" s="6">
        <v>690</v>
      </c>
    </row>
    <row r="2021" s="2" customFormat="true" ht="22.5" customHeight="true" spans="1:7">
      <c r="A2021" s="6">
        <f>2019</f>
        <v>2019</v>
      </c>
      <c r="B2021" s="6" t="s">
        <v>2016</v>
      </c>
      <c r="C2021" s="6" t="s">
        <v>15</v>
      </c>
      <c r="D2021" s="6" t="s">
        <v>104</v>
      </c>
      <c r="E2021" s="6" t="s">
        <v>17</v>
      </c>
      <c r="F2021" s="6">
        <v>1</v>
      </c>
      <c r="G2021" s="6">
        <v>690</v>
      </c>
    </row>
    <row r="2022" s="2" customFormat="true" ht="22.5" customHeight="true" spans="1:7">
      <c r="A2022" s="6">
        <f>2020</f>
        <v>2020</v>
      </c>
      <c r="B2022" s="6" t="s">
        <v>2017</v>
      </c>
      <c r="C2022" s="6" t="s">
        <v>9</v>
      </c>
      <c r="D2022" s="6" t="s">
        <v>16</v>
      </c>
      <c r="E2022" s="6" t="s">
        <v>17</v>
      </c>
      <c r="F2022" s="6">
        <v>2</v>
      </c>
      <c r="G2022" s="6">
        <v>1366</v>
      </c>
    </row>
    <row r="2023" s="2" customFormat="true" ht="22.5" customHeight="true" spans="1:7">
      <c r="A2023" s="6">
        <f>2021</f>
        <v>2021</v>
      </c>
      <c r="B2023" s="6" t="s">
        <v>2018</v>
      </c>
      <c r="C2023" s="6" t="s">
        <v>15</v>
      </c>
      <c r="D2023" s="6" t="s">
        <v>188</v>
      </c>
      <c r="E2023" s="6" t="s">
        <v>17</v>
      </c>
      <c r="F2023" s="6">
        <v>1</v>
      </c>
      <c r="G2023" s="6">
        <v>584</v>
      </c>
    </row>
    <row r="2024" s="2" customFormat="true" ht="22.5" customHeight="true" spans="1:7">
      <c r="A2024" s="6">
        <f>2022</f>
        <v>2022</v>
      </c>
      <c r="B2024" s="6" t="s">
        <v>2019</v>
      </c>
      <c r="C2024" s="6" t="s">
        <v>15</v>
      </c>
      <c r="D2024" s="6" t="s">
        <v>222</v>
      </c>
      <c r="E2024" s="6" t="s">
        <v>11</v>
      </c>
      <c r="F2024" s="6">
        <v>3</v>
      </c>
      <c r="G2024" s="6">
        <v>1601</v>
      </c>
    </row>
    <row r="2025" s="2" customFormat="true" ht="22.5" customHeight="true" spans="1:7">
      <c r="A2025" s="6">
        <f>2023</f>
        <v>2023</v>
      </c>
      <c r="B2025" s="6" t="s">
        <v>2020</v>
      </c>
      <c r="C2025" s="6" t="s">
        <v>9</v>
      </c>
      <c r="D2025" s="6" t="s">
        <v>167</v>
      </c>
      <c r="E2025" s="6" t="s">
        <v>17</v>
      </c>
      <c r="F2025" s="6">
        <v>1</v>
      </c>
      <c r="G2025" s="6">
        <v>660</v>
      </c>
    </row>
    <row r="2026" s="2" customFormat="true" ht="22.5" customHeight="true" spans="1:7">
      <c r="A2026" s="6">
        <f>2024</f>
        <v>2024</v>
      </c>
      <c r="B2026" s="6" t="s">
        <v>2021</v>
      </c>
      <c r="C2026" s="6" t="s">
        <v>9</v>
      </c>
      <c r="D2026" s="6" t="s">
        <v>270</v>
      </c>
      <c r="E2026" s="6" t="s">
        <v>17</v>
      </c>
      <c r="F2026" s="6">
        <v>1</v>
      </c>
      <c r="G2026" s="6">
        <v>433</v>
      </c>
    </row>
    <row r="2027" s="2" customFormat="true" ht="22.5" customHeight="true" spans="1:7">
      <c r="A2027" s="6">
        <f>2025</f>
        <v>2025</v>
      </c>
      <c r="B2027" s="6" t="s">
        <v>2022</v>
      </c>
      <c r="C2027" s="6" t="s">
        <v>15</v>
      </c>
      <c r="D2027" s="6" t="s">
        <v>260</v>
      </c>
      <c r="E2027" s="6" t="s">
        <v>17</v>
      </c>
      <c r="F2027" s="6">
        <v>1</v>
      </c>
      <c r="G2027" s="6">
        <v>660</v>
      </c>
    </row>
    <row r="2028" s="2" customFormat="true" ht="22.5" customHeight="true" spans="1:7">
      <c r="A2028" s="6">
        <f>2026</f>
        <v>2026</v>
      </c>
      <c r="B2028" s="6" t="s">
        <v>2023</v>
      </c>
      <c r="C2028" s="6" t="s">
        <v>15</v>
      </c>
      <c r="D2028" s="6" t="s">
        <v>239</v>
      </c>
      <c r="E2028" s="6" t="s">
        <v>17</v>
      </c>
      <c r="F2028" s="6">
        <v>2</v>
      </c>
      <c r="G2028" s="6">
        <v>1017</v>
      </c>
    </row>
    <row r="2029" s="2" customFormat="true" ht="22.5" customHeight="true" spans="1:7">
      <c r="A2029" s="6">
        <f>2027</f>
        <v>2027</v>
      </c>
      <c r="B2029" s="6" t="s">
        <v>2024</v>
      </c>
      <c r="C2029" s="6" t="s">
        <v>9</v>
      </c>
      <c r="D2029" s="6" t="s">
        <v>169</v>
      </c>
      <c r="E2029" s="6" t="s">
        <v>17</v>
      </c>
      <c r="F2029" s="6">
        <v>1</v>
      </c>
      <c r="G2029" s="6">
        <v>660</v>
      </c>
    </row>
    <row r="2030" s="2" customFormat="true" ht="22.5" customHeight="true" spans="1:7">
      <c r="A2030" s="6">
        <f>2028</f>
        <v>2028</v>
      </c>
      <c r="B2030" s="6" t="s">
        <v>2025</v>
      </c>
      <c r="C2030" s="6" t="s">
        <v>9</v>
      </c>
      <c r="D2030" s="6" t="s">
        <v>239</v>
      </c>
      <c r="E2030" s="6" t="s">
        <v>17</v>
      </c>
      <c r="F2030" s="6">
        <v>1</v>
      </c>
      <c r="G2030" s="6">
        <v>660</v>
      </c>
    </row>
    <row r="2031" s="2" customFormat="true" ht="22.5" customHeight="true" spans="1:7">
      <c r="A2031" s="6">
        <f>2029</f>
        <v>2029</v>
      </c>
      <c r="B2031" s="6" t="s">
        <v>2026</v>
      </c>
      <c r="C2031" s="6" t="s">
        <v>15</v>
      </c>
      <c r="D2031" s="6" t="s">
        <v>230</v>
      </c>
      <c r="E2031" s="6" t="s">
        <v>17</v>
      </c>
      <c r="F2031" s="6">
        <v>3</v>
      </c>
      <c r="G2031" s="6">
        <v>1577</v>
      </c>
    </row>
    <row r="2032" s="2" customFormat="true" ht="22.5" customHeight="true" spans="1:7">
      <c r="A2032" s="6">
        <f>2030</f>
        <v>2030</v>
      </c>
      <c r="B2032" s="6" t="s">
        <v>2027</v>
      </c>
      <c r="C2032" s="6" t="s">
        <v>9</v>
      </c>
      <c r="D2032" s="6" t="s">
        <v>19</v>
      </c>
      <c r="E2032" s="6" t="s">
        <v>79</v>
      </c>
      <c r="F2032" s="6">
        <v>2</v>
      </c>
      <c r="G2032" s="6">
        <v>940</v>
      </c>
    </row>
    <row r="2033" s="2" customFormat="true" ht="22.5" customHeight="true" spans="1:7">
      <c r="A2033" s="6">
        <f>2031</f>
        <v>2031</v>
      </c>
      <c r="B2033" s="6" t="s">
        <v>2028</v>
      </c>
      <c r="C2033" s="6" t="s">
        <v>9</v>
      </c>
      <c r="D2033" s="6" t="s">
        <v>27</v>
      </c>
      <c r="E2033" s="6" t="s">
        <v>17</v>
      </c>
      <c r="F2033" s="6">
        <v>1</v>
      </c>
      <c r="G2033" s="6">
        <v>706</v>
      </c>
    </row>
    <row r="2034" s="2" customFormat="true" ht="22.5" customHeight="true" spans="1:7">
      <c r="A2034" s="6">
        <f>2032</f>
        <v>2032</v>
      </c>
      <c r="B2034" s="6" t="s">
        <v>2029</v>
      </c>
      <c r="C2034" s="6" t="s">
        <v>15</v>
      </c>
      <c r="D2034" s="6" t="s">
        <v>27</v>
      </c>
      <c r="E2034" s="6" t="s">
        <v>11</v>
      </c>
      <c r="F2034" s="6">
        <v>1</v>
      </c>
      <c r="G2034" s="6">
        <v>570</v>
      </c>
    </row>
    <row r="2035" s="2" customFormat="true" ht="22.5" customHeight="true" spans="1:7">
      <c r="A2035" s="6">
        <f>2033</f>
        <v>2033</v>
      </c>
      <c r="B2035" s="6" t="s">
        <v>2030</v>
      </c>
      <c r="C2035" s="6" t="s">
        <v>9</v>
      </c>
      <c r="D2035" s="6" t="s">
        <v>13</v>
      </c>
      <c r="E2035" s="6" t="s">
        <v>17</v>
      </c>
      <c r="F2035" s="6">
        <v>1</v>
      </c>
      <c r="G2035" s="6">
        <v>656</v>
      </c>
    </row>
    <row r="2036" s="2" customFormat="true" ht="22.5" customHeight="true" spans="1:7">
      <c r="A2036" s="6">
        <f>2034</f>
        <v>2034</v>
      </c>
      <c r="B2036" s="6" t="s">
        <v>2031</v>
      </c>
      <c r="C2036" s="6" t="s">
        <v>15</v>
      </c>
      <c r="D2036" s="6" t="s">
        <v>117</v>
      </c>
      <c r="E2036" s="6" t="s">
        <v>17</v>
      </c>
      <c r="F2036" s="6">
        <v>1</v>
      </c>
      <c r="G2036" s="6">
        <v>656</v>
      </c>
    </row>
    <row r="2037" s="2" customFormat="true" ht="22.5" customHeight="true" spans="1:7">
      <c r="A2037" s="6">
        <f>2035</f>
        <v>2035</v>
      </c>
      <c r="B2037" s="6" t="s">
        <v>2032</v>
      </c>
      <c r="C2037" s="6" t="s">
        <v>9</v>
      </c>
      <c r="D2037" s="6" t="s">
        <v>202</v>
      </c>
      <c r="E2037" s="6" t="s">
        <v>17</v>
      </c>
      <c r="F2037" s="6">
        <v>1</v>
      </c>
      <c r="G2037" s="6">
        <v>656</v>
      </c>
    </row>
    <row r="2038" s="2" customFormat="true" ht="22.5" customHeight="true" spans="1:7">
      <c r="A2038" s="6">
        <f>2036</f>
        <v>2036</v>
      </c>
      <c r="B2038" s="6" t="s">
        <v>2033</v>
      </c>
      <c r="C2038" s="6" t="s">
        <v>15</v>
      </c>
      <c r="D2038" s="6" t="s">
        <v>49</v>
      </c>
      <c r="E2038" s="6" t="s">
        <v>11</v>
      </c>
      <c r="F2038" s="6">
        <v>3</v>
      </c>
      <c r="G2038" s="6">
        <v>1573</v>
      </c>
    </row>
    <row r="2039" s="2" customFormat="true" ht="22.5" customHeight="true" spans="1:7">
      <c r="A2039" s="6">
        <f>2037</f>
        <v>2037</v>
      </c>
      <c r="B2039" s="6" t="s">
        <v>2034</v>
      </c>
      <c r="C2039" s="6" t="s">
        <v>9</v>
      </c>
      <c r="D2039" s="6" t="s">
        <v>209</v>
      </c>
      <c r="E2039" s="6" t="s">
        <v>17</v>
      </c>
      <c r="F2039" s="6">
        <v>1</v>
      </c>
      <c r="G2039" s="6">
        <v>701</v>
      </c>
    </row>
    <row r="2040" s="2" customFormat="true" ht="22.5" customHeight="true" spans="1:7">
      <c r="A2040" s="6">
        <f>2038</f>
        <v>2038</v>
      </c>
      <c r="B2040" s="6" t="s">
        <v>2035</v>
      </c>
      <c r="C2040" s="6" t="s">
        <v>15</v>
      </c>
      <c r="D2040" s="6" t="s">
        <v>19</v>
      </c>
      <c r="E2040" s="6" t="s">
        <v>17</v>
      </c>
      <c r="F2040" s="6">
        <v>1</v>
      </c>
      <c r="G2040" s="6">
        <v>706</v>
      </c>
    </row>
    <row r="2041" s="2" customFormat="true" ht="22.5" customHeight="true" spans="1:7">
      <c r="A2041" s="6">
        <f>2039</f>
        <v>2039</v>
      </c>
      <c r="B2041" s="6" t="s">
        <v>2036</v>
      </c>
      <c r="C2041" s="6" t="s">
        <v>9</v>
      </c>
      <c r="D2041" s="6" t="s">
        <v>27</v>
      </c>
      <c r="E2041" s="6" t="s">
        <v>17</v>
      </c>
      <c r="F2041" s="6">
        <v>1</v>
      </c>
      <c r="G2041" s="6">
        <v>597</v>
      </c>
    </row>
    <row r="2042" s="2" customFormat="true" ht="22.5" customHeight="true" spans="1:7">
      <c r="A2042" s="6">
        <f>2040</f>
        <v>2040</v>
      </c>
      <c r="B2042" s="6" t="s">
        <v>2037</v>
      </c>
      <c r="C2042" s="6" t="s">
        <v>9</v>
      </c>
      <c r="D2042" s="6"/>
      <c r="E2042" s="6" t="s">
        <v>17</v>
      </c>
      <c r="F2042" s="6">
        <v>6</v>
      </c>
      <c r="G2042" s="6">
        <v>3375</v>
      </c>
    </row>
    <row r="2043" s="2" customFormat="true" ht="22.5" customHeight="true" spans="1:7">
      <c r="A2043" s="6">
        <f>2041</f>
        <v>2041</v>
      </c>
      <c r="B2043" s="6" t="s">
        <v>2038</v>
      </c>
      <c r="C2043" s="6" t="s">
        <v>15</v>
      </c>
      <c r="D2043" s="6" t="s">
        <v>138</v>
      </c>
      <c r="E2043" s="6" t="s">
        <v>11</v>
      </c>
      <c r="F2043" s="6">
        <v>1</v>
      </c>
      <c r="G2043" s="6">
        <v>580</v>
      </c>
    </row>
    <row r="2044" s="2" customFormat="true" ht="22.5" customHeight="true" spans="1:7">
      <c r="A2044" s="6">
        <f>2042</f>
        <v>2042</v>
      </c>
      <c r="B2044" s="6" t="s">
        <v>2039</v>
      </c>
      <c r="C2044" s="6" t="s">
        <v>9</v>
      </c>
      <c r="D2044" s="6" t="s">
        <v>209</v>
      </c>
      <c r="E2044" s="6" t="s">
        <v>17</v>
      </c>
      <c r="F2044" s="6">
        <v>1</v>
      </c>
      <c r="G2044" s="6">
        <v>666</v>
      </c>
    </row>
    <row r="2045" s="2" customFormat="true" ht="22.5" customHeight="true" spans="1:7">
      <c r="A2045" s="6">
        <f>2043</f>
        <v>2043</v>
      </c>
      <c r="B2045" s="6" t="s">
        <v>2040</v>
      </c>
      <c r="C2045" s="6" t="s">
        <v>9</v>
      </c>
      <c r="D2045" s="6" t="s">
        <v>209</v>
      </c>
      <c r="E2045" s="6" t="s">
        <v>17</v>
      </c>
      <c r="F2045" s="6">
        <v>1</v>
      </c>
      <c r="G2045" s="6">
        <v>666</v>
      </c>
    </row>
    <row r="2046" s="2" customFormat="true" ht="22.5" customHeight="true" spans="1:7">
      <c r="A2046" s="6">
        <f>2044</f>
        <v>2044</v>
      </c>
      <c r="B2046" s="6" t="s">
        <v>2041</v>
      </c>
      <c r="C2046" s="6" t="s">
        <v>9</v>
      </c>
      <c r="D2046" s="6" t="s">
        <v>230</v>
      </c>
      <c r="E2046" s="6" t="s">
        <v>17</v>
      </c>
      <c r="F2046" s="6">
        <v>1</v>
      </c>
      <c r="G2046" s="6">
        <v>706</v>
      </c>
    </row>
    <row r="2047" s="2" customFormat="true" ht="22.5" customHeight="true" spans="1:7">
      <c r="A2047" s="6">
        <f>2045</f>
        <v>2045</v>
      </c>
      <c r="B2047" s="6" t="s">
        <v>2042</v>
      </c>
      <c r="C2047" s="6" t="s">
        <v>9</v>
      </c>
      <c r="D2047" s="6" t="s">
        <v>143</v>
      </c>
      <c r="E2047" s="6" t="s">
        <v>17</v>
      </c>
      <c r="F2047" s="6">
        <v>1</v>
      </c>
      <c r="G2047" s="6">
        <v>660</v>
      </c>
    </row>
    <row r="2048" s="2" customFormat="true" ht="22.5" customHeight="true" spans="1:7">
      <c r="A2048" s="6">
        <f>2046</f>
        <v>2046</v>
      </c>
      <c r="B2048" s="6" t="s">
        <v>2043</v>
      </c>
      <c r="C2048" s="6" t="s">
        <v>9</v>
      </c>
      <c r="D2048" s="6" t="s">
        <v>149</v>
      </c>
      <c r="E2048" s="6" t="s">
        <v>17</v>
      </c>
      <c r="F2048" s="6">
        <v>2</v>
      </c>
      <c r="G2048" s="6">
        <v>1178</v>
      </c>
    </row>
    <row r="2049" s="2" customFormat="true" ht="22.5" customHeight="true" spans="1:7">
      <c r="A2049" s="6">
        <f>2047</f>
        <v>2047</v>
      </c>
      <c r="B2049" s="6" t="s">
        <v>2044</v>
      </c>
      <c r="C2049" s="6" t="s">
        <v>9</v>
      </c>
      <c r="D2049" s="6" t="s">
        <v>167</v>
      </c>
      <c r="E2049" s="6" t="s">
        <v>17</v>
      </c>
      <c r="F2049" s="6">
        <v>2</v>
      </c>
      <c r="G2049" s="6">
        <v>1178</v>
      </c>
    </row>
    <row r="2050" s="2" customFormat="true" ht="22.5" customHeight="true" spans="1:7">
      <c r="A2050" s="6">
        <f>2048</f>
        <v>2048</v>
      </c>
      <c r="B2050" s="6" t="s">
        <v>2045</v>
      </c>
      <c r="C2050" s="6" t="s">
        <v>15</v>
      </c>
      <c r="D2050" s="6" t="s">
        <v>167</v>
      </c>
      <c r="E2050" s="6" t="s">
        <v>17</v>
      </c>
      <c r="F2050" s="6">
        <v>3</v>
      </c>
      <c r="G2050" s="6">
        <v>1654</v>
      </c>
    </row>
    <row r="2051" s="2" customFormat="true" ht="22.5" customHeight="true" spans="1:7">
      <c r="A2051" s="6">
        <f>2049</f>
        <v>2049</v>
      </c>
      <c r="B2051" s="6" t="s">
        <v>2046</v>
      </c>
      <c r="C2051" s="6" t="s">
        <v>15</v>
      </c>
      <c r="D2051" s="6" t="s">
        <v>13</v>
      </c>
      <c r="E2051" s="6" t="s">
        <v>17</v>
      </c>
      <c r="F2051" s="6">
        <v>1</v>
      </c>
      <c r="G2051" s="6">
        <v>656</v>
      </c>
    </row>
    <row r="2052" s="2" customFormat="true" ht="22.5" customHeight="true" spans="1:7">
      <c r="A2052" s="6">
        <f>2050</f>
        <v>2050</v>
      </c>
      <c r="B2052" s="6" t="s">
        <v>2047</v>
      </c>
      <c r="C2052" s="6" t="s">
        <v>15</v>
      </c>
      <c r="D2052" s="6" t="s">
        <v>129</v>
      </c>
      <c r="E2052" s="6" t="s">
        <v>17</v>
      </c>
      <c r="F2052" s="6">
        <v>1</v>
      </c>
      <c r="G2052" s="6">
        <v>660</v>
      </c>
    </row>
    <row r="2053" s="2" customFormat="true" ht="22.5" customHeight="true" spans="1:7">
      <c r="A2053" s="6">
        <f>2051</f>
        <v>2051</v>
      </c>
      <c r="B2053" s="6" t="s">
        <v>2048</v>
      </c>
      <c r="C2053" s="6" t="s">
        <v>9</v>
      </c>
      <c r="D2053" s="6" t="s">
        <v>180</v>
      </c>
      <c r="E2053" s="6" t="s">
        <v>17</v>
      </c>
      <c r="F2053" s="6">
        <v>4</v>
      </c>
      <c r="G2053" s="6">
        <v>2181</v>
      </c>
    </row>
    <row r="2054" s="2" customFormat="true" ht="22.5" customHeight="true" spans="1:7">
      <c r="A2054" s="6">
        <f>2052</f>
        <v>2052</v>
      </c>
      <c r="B2054" s="6" t="s">
        <v>576</v>
      </c>
      <c r="C2054" s="6" t="s">
        <v>9</v>
      </c>
      <c r="D2054" s="6" t="s">
        <v>146</v>
      </c>
      <c r="E2054" s="6" t="s">
        <v>17</v>
      </c>
      <c r="F2054" s="6">
        <v>1</v>
      </c>
      <c r="G2054" s="6">
        <v>660</v>
      </c>
    </row>
    <row r="2055" s="2" customFormat="true" ht="22.5" customHeight="true" spans="1:7">
      <c r="A2055" s="6">
        <f>2053</f>
        <v>2053</v>
      </c>
      <c r="B2055" s="6" t="s">
        <v>2049</v>
      </c>
      <c r="C2055" s="6" t="s">
        <v>9</v>
      </c>
      <c r="D2055" s="6" t="s">
        <v>164</v>
      </c>
      <c r="E2055" s="6" t="s">
        <v>17</v>
      </c>
      <c r="F2055" s="6">
        <v>1</v>
      </c>
      <c r="G2055" s="6">
        <v>660</v>
      </c>
    </row>
    <row r="2056" s="2" customFormat="true" ht="22.5" customHeight="true" spans="1:7">
      <c r="A2056" s="6">
        <f>2054</f>
        <v>2054</v>
      </c>
      <c r="B2056" s="6" t="s">
        <v>2050</v>
      </c>
      <c r="C2056" s="6" t="s">
        <v>9</v>
      </c>
      <c r="D2056" s="6" t="s">
        <v>35</v>
      </c>
      <c r="E2056" s="6" t="s">
        <v>17</v>
      </c>
      <c r="F2056" s="6">
        <v>1</v>
      </c>
      <c r="G2056" s="6">
        <v>656</v>
      </c>
    </row>
    <row r="2057" s="2" customFormat="true" ht="22.5" customHeight="true" spans="1:7">
      <c r="A2057" s="6">
        <f>2055</f>
        <v>2055</v>
      </c>
      <c r="B2057" s="6" t="s">
        <v>2051</v>
      </c>
      <c r="C2057" s="6" t="s">
        <v>15</v>
      </c>
      <c r="D2057" s="6" t="s">
        <v>16</v>
      </c>
      <c r="E2057" s="6" t="s">
        <v>11</v>
      </c>
      <c r="F2057" s="6">
        <v>1</v>
      </c>
      <c r="G2057" s="6">
        <v>594</v>
      </c>
    </row>
    <row r="2058" s="2" customFormat="true" ht="22.5" customHeight="true" spans="1:7">
      <c r="A2058" s="6">
        <f>2056</f>
        <v>2056</v>
      </c>
      <c r="B2058" s="6" t="s">
        <v>756</v>
      </c>
      <c r="C2058" s="6" t="s">
        <v>15</v>
      </c>
      <c r="D2058" s="6" t="s">
        <v>169</v>
      </c>
      <c r="E2058" s="6" t="s">
        <v>11</v>
      </c>
      <c r="F2058" s="6">
        <v>1</v>
      </c>
      <c r="G2058" s="6">
        <v>584</v>
      </c>
    </row>
    <row r="2059" s="2" customFormat="true" ht="22.5" customHeight="true" spans="1:7">
      <c r="A2059" s="6">
        <f>2057</f>
        <v>2057</v>
      </c>
      <c r="B2059" s="6" t="s">
        <v>2052</v>
      </c>
      <c r="C2059" s="6" t="s">
        <v>9</v>
      </c>
      <c r="D2059" s="6" t="s">
        <v>260</v>
      </c>
      <c r="E2059" s="6" t="s">
        <v>17</v>
      </c>
      <c r="F2059" s="6">
        <v>2</v>
      </c>
      <c r="G2059" s="6">
        <v>1102</v>
      </c>
    </row>
    <row r="2060" s="2" customFormat="true" ht="22.5" customHeight="true" spans="1:7">
      <c r="A2060" s="6">
        <f>2058</f>
        <v>2058</v>
      </c>
      <c r="B2060" s="6" t="s">
        <v>783</v>
      </c>
      <c r="C2060" s="6" t="s">
        <v>9</v>
      </c>
      <c r="D2060" s="6" t="s">
        <v>260</v>
      </c>
      <c r="E2060" s="6" t="s">
        <v>11</v>
      </c>
      <c r="F2060" s="6">
        <v>2</v>
      </c>
      <c r="G2060" s="6">
        <v>1178</v>
      </c>
    </row>
    <row r="2061" s="2" customFormat="true" ht="22.5" customHeight="true" spans="1:7">
      <c r="A2061" s="6">
        <f>2059</f>
        <v>2059</v>
      </c>
      <c r="B2061" s="6" t="s">
        <v>2053</v>
      </c>
      <c r="C2061" s="6" t="s">
        <v>9</v>
      </c>
      <c r="D2061" s="6" t="s">
        <v>202</v>
      </c>
      <c r="E2061" s="6" t="s">
        <v>17</v>
      </c>
      <c r="F2061" s="6">
        <v>1</v>
      </c>
      <c r="G2061" s="6">
        <v>706</v>
      </c>
    </row>
    <row r="2062" s="2" customFormat="true" ht="22.5" customHeight="true" spans="1:7">
      <c r="A2062" s="6">
        <f>2060</f>
        <v>2060</v>
      </c>
      <c r="B2062" s="6" t="s">
        <v>2054</v>
      </c>
      <c r="C2062" s="6" t="s">
        <v>9</v>
      </c>
      <c r="D2062" s="6" t="s">
        <v>270</v>
      </c>
      <c r="E2062" s="6" t="s">
        <v>11</v>
      </c>
      <c r="F2062" s="6">
        <v>2</v>
      </c>
      <c r="G2062" s="6">
        <v>1178</v>
      </c>
    </row>
    <row r="2063" s="2" customFormat="true" ht="22.5" customHeight="true" spans="1:7">
      <c r="A2063" s="6">
        <f>2061</f>
        <v>2061</v>
      </c>
      <c r="B2063" s="6" t="s">
        <v>2055</v>
      </c>
      <c r="C2063" s="6" t="s">
        <v>15</v>
      </c>
      <c r="D2063" s="6" t="s">
        <v>146</v>
      </c>
      <c r="E2063" s="6" t="s">
        <v>17</v>
      </c>
      <c r="F2063" s="6">
        <v>2</v>
      </c>
      <c r="G2063" s="6">
        <v>1178</v>
      </c>
    </row>
    <row r="2064" s="2" customFormat="true" ht="22.5" customHeight="true" spans="1:7">
      <c r="A2064" s="6">
        <f>2062</f>
        <v>2062</v>
      </c>
      <c r="B2064" s="6" t="s">
        <v>2056</v>
      </c>
      <c r="C2064" s="6" t="s">
        <v>9</v>
      </c>
      <c r="D2064" s="6" t="s">
        <v>209</v>
      </c>
      <c r="E2064" s="6" t="s">
        <v>17</v>
      </c>
      <c r="F2064" s="6">
        <v>2</v>
      </c>
      <c r="G2064" s="6">
        <v>1187</v>
      </c>
    </row>
    <row r="2065" s="2" customFormat="true" ht="22.5" customHeight="true" spans="1:7">
      <c r="A2065" s="6">
        <f>2063</f>
        <v>2063</v>
      </c>
      <c r="B2065" s="6" t="s">
        <v>2057</v>
      </c>
      <c r="C2065" s="6" t="s">
        <v>15</v>
      </c>
      <c r="D2065" s="6" t="s">
        <v>167</v>
      </c>
      <c r="E2065" s="6" t="s">
        <v>17</v>
      </c>
      <c r="F2065" s="6">
        <v>2</v>
      </c>
      <c r="G2065" s="6">
        <v>1127</v>
      </c>
    </row>
    <row r="2066" s="2" customFormat="true" ht="22.5" customHeight="true" spans="1:7">
      <c r="A2066" s="6">
        <f>2064</f>
        <v>2064</v>
      </c>
      <c r="B2066" s="6" t="s">
        <v>2058</v>
      </c>
      <c r="C2066" s="6" t="s">
        <v>9</v>
      </c>
      <c r="D2066" s="6" t="s">
        <v>143</v>
      </c>
      <c r="E2066" s="6" t="s">
        <v>17</v>
      </c>
      <c r="F2066" s="6">
        <v>1</v>
      </c>
      <c r="G2066" s="6">
        <v>660</v>
      </c>
    </row>
    <row r="2067" s="2" customFormat="true" ht="22.5" customHeight="true" spans="1:7">
      <c r="A2067" s="6">
        <f>2065</f>
        <v>2065</v>
      </c>
      <c r="B2067" s="6" t="s">
        <v>2059</v>
      </c>
      <c r="C2067" s="6" t="s">
        <v>9</v>
      </c>
      <c r="D2067" s="6" t="s">
        <v>136</v>
      </c>
      <c r="E2067" s="6" t="s">
        <v>17</v>
      </c>
      <c r="F2067" s="6">
        <v>2</v>
      </c>
      <c r="G2067" s="6">
        <v>1103</v>
      </c>
    </row>
    <row r="2068" s="2" customFormat="true" ht="22.5" customHeight="true" spans="1:7">
      <c r="A2068" s="6">
        <f>2066</f>
        <v>2066</v>
      </c>
      <c r="B2068" s="6" t="s">
        <v>2060</v>
      </c>
      <c r="C2068" s="6" t="s">
        <v>15</v>
      </c>
      <c r="D2068" s="6" t="s">
        <v>143</v>
      </c>
      <c r="E2068" s="6" t="s">
        <v>17</v>
      </c>
      <c r="F2068" s="6">
        <v>2</v>
      </c>
      <c r="G2068" s="6">
        <v>1178</v>
      </c>
    </row>
    <row r="2069" s="2" customFormat="true" ht="22.5" customHeight="true" spans="1:7">
      <c r="A2069" s="6">
        <f>2067</f>
        <v>2067</v>
      </c>
      <c r="B2069" s="6" t="s">
        <v>2061</v>
      </c>
      <c r="C2069" s="6" t="s">
        <v>9</v>
      </c>
      <c r="D2069" s="6" t="s">
        <v>222</v>
      </c>
      <c r="E2069" s="6" t="s">
        <v>17</v>
      </c>
      <c r="F2069" s="6">
        <v>2</v>
      </c>
      <c r="G2069" s="6">
        <v>872</v>
      </c>
    </row>
    <row r="2070" s="2" customFormat="true" ht="22.5" customHeight="true" spans="1:7">
      <c r="A2070" s="6">
        <f>2068</f>
        <v>2068</v>
      </c>
      <c r="B2070" s="6" t="s">
        <v>2062</v>
      </c>
      <c r="C2070" s="6" t="s">
        <v>9</v>
      </c>
      <c r="D2070" s="6" t="s">
        <v>19</v>
      </c>
      <c r="E2070" s="6" t="s">
        <v>17</v>
      </c>
      <c r="F2070" s="6">
        <v>2</v>
      </c>
      <c r="G2070" s="6">
        <v>1137</v>
      </c>
    </row>
    <row r="2071" s="2" customFormat="true" ht="22.5" customHeight="true" spans="1:7">
      <c r="A2071" s="6">
        <f>2069</f>
        <v>2069</v>
      </c>
      <c r="B2071" s="6" t="s">
        <v>2063</v>
      </c>
      <c r="C2071" s="6" t="s">
        <v>9</v>
      </c>
      <c r="D2071" s="6" t="s">
        <v>13</v>
      </c>
      <c r="E2071" s="6" t="s">
        <v>11</v>
      </c>
      <c r="F2071" s="6">
        <v>1</v>
      </c>
      <c r="G2071" s="6">
        <v>597</v>
      </c>
    </row>
    <row r="2072" s="2" customFormat="true" ht="22.5" customHeight="true" spans="1:7">
      <c r="A2072" s="6">
        <f>2070</f>
        <v>2070</v>
      </c>
      <c r="B2072" s="6" t="s">
        <v>2064</v>
      </c>
      <c r="C2072" s="6" t="s">
        <v>15</v>
      </c>
      <c r="D2072" s="6" t="s">
        <v>104</v>
      </c>
      <c r="E2072" s="6" t="s">
        <v>17</v>
      </c>
      <c r="F2072" s="6">
        <v>1</v>
      </c>
      <c r="G2072" s="6">
        <v>690</v>
      </c>
    </row>
    <row r="2073" s="2" customFormat="true" ht="22.5" customHeight="true" spans="1:7">
      <c r="A2073" s="6">
        <f>2071</f>
        <v>2071</v>
      </c>
      <c r="B2073" s="6" t="s">
        <v>2065</v>
      </c>
      <c r="C2073" s="6" t="s">
        <v>15</v>
      </c>
      <c r="D2073" s="6" t="s">
        <v>185</v>
      </c>
      <c r="E2073" s="6" t="s">
        <v>17</v>
      </c>
      <c r="F2073" s="6">
        <v>2</v>
      </c>
      <c r="G2073" s="6">
        <v>1284</v>
      </c>
    </row>
    <row r="2074" s="2" customFormat="true" ht="22.5" customHeight="true" spans="1:7">
      <c r="A2074" s="6">
        <f>2072</f>
        <v>2072</v>
      </c>
      <c r="B2074" s="6" t="s">
        <v>2066</v>
      </c>
      <c r="C2074" s="6" t="s">
        <v>9</v>
      </c>
      <c r="D2074" s="6" t="s">
        <v>167</v>
      </c>
      <c r="E2074" s="6" t="s">
        <v>17</v>
      </c>
      <c r="F2074" s="6">
        <v>4</v>
      </c>
      <c r="G2074" s="6">
        <v>2257</v>
      </c>
    </row>
    <row r="2075" s="2" customFormat="true" ht="22.5" customHeight="true" spans="1:7">
      <c r="A2075" s="6">
        <f>2073</f>
        <v>2073</v>
      </c>
      <c r="B2075" s="6" t="s">
        <v>2067</v>
      </c>
      <c r="C2075" s="6" t="s">
        <v>9</v>
      </c>
      <c r="D2075" s="6" t="s">
        <v>122</v>
      </c>
      <c r="E2075" s="6" t="s">
        <v>17</v>
      </c>
      <c r="F2075" s="6">
        <v>1</v>
      </c>
      <c r="G2075" s="6">
        <v>660</v>
      </c>
    </row>
    <row r="2076" s="2" customFormat="true" ht="22.5" customHeight="true" spans="1:7">
      <c r="A2076" s="6">
        <f>2074</f>
        <v>2074</v>
      </c>
      <c r="B2076" s="6" t="s">
        <v>2068</v>
      </c>
      <c r="C2076" s="6" t="s">
        <v>9</v>
      </c>
      <c r="D2076" s="6" t="s">
        <v>131</v>
      </c>
      <c r="E2076" s="6" t="s">
        <v>17</v>
      </c>
      <c r="F2076" s="6">
        <v>1</v>
      </c>
      <c r="G2076" s="6">
        <v>660</v>
      </c>
    </row>
    <row r="2077" s="2" customFormat="true" ht="22.5" customHeight="true" spans="1:7">
      <c r="A2077" s="6">
        <f>2075</f>
        <v>2075</v>
      </c>
      <c r="B2077" s="6" t="s">
        <v>2069</v>
      </c>
      <c r="C2077" s="6" t="s">
        <v>9</v>
      </c>
      <c r="D2077" s="6" t="s">
        <v>133</v>
      </c>
      <c r="E2077" s="6" t="s">
        <v>11</v>
      </c>
      <c r="F2077" s="6">
        <v>1</v>
      </c>
      <c r="G2077" s="6">
        <v>584</v>
      </c>
    </row>
    <row r="2078" s="2" customFormat="true" ht="22.5" customHeight="true" spans="1:7">
      <c r="A2078" s="6">
        <f>2076</f>
        <v>2076</v>
      </c>
      <c r="B2078" s="6" t="s">
        <v>2070</v>
      </c>
      <c r="C2078" s="6" t="s">
        <v>15</v>
      </c>
      <c r="D2078" s="6" t="s">
        <v>161</v>
      </c>
      <c r="E2078" s="6" t="s">
        <v>11</v>
      </c>
      <c r="F2078" s="6">
        <v>5</v>
      </c>
      <c r="G2078" s="6">
        <v>2453</v>
      </c>
    </row>
    <row r="2079" s="2" customFormat="true" ht="22.5" customHeight="true" spans="1:7">
      <c r="A2079" s="6">
        <f>2077</f>
        <v>2077</v>
      </c>
      <c r="B2079" s="6" t="s">
        <v>2071</v>
      </c>
      <c r="C2079" s="6" t="s">
        <v>15</v>
      </c>
      <c r="D2079" s="6" t="s">
        <v>164</v>
      </c>
      <c r="E2079" s="6" t="s">
        <v>11</v>
      </c>
      <c r="F2079" s="6">
        <v>3</v>
      </c>
      <c r="G2079" s="6">
        <v>1601</v>
      </c>
    </row>
    <row r="2080" s="2" customFormat="true" ht="22.5" customHeight="true" spans="1:7">
      <c r="A2080" s="6">
        <f>2078</f>
        <v>2078</v>
      </c>
      <c r="B2080" s="6" t="s">
        <v>2072</v>
      </c>
      <c r="C2080" s="6" t="s">
        <v>9</v>
      </c>
      <c r="D2080" s="6" t="s">
        <v>10</v>
      </c>
      <c r="E2080" s="6" t="s">
        <v>11</v>
      </c>
      <c r="F2080" s="6">
        <v>1</v>
      </c>
      <c r="G2080" s="6">
        <v>597</v>
      </c>
    </row>
    <row r="2081" s="2" customFormat="true" ht="22.5" customHeight="true" spans="1:7">
      <c r="A2081" s="6">
        <f>2079</f>
        <v>2079</v>
      </c>
      <c r="B2081" s="6" t="s">
        <v>2073</v>
      </c>
      <c r="C2081" s="6" t="s">
        <v>15</v>
      </c>
      <c r="D2081" s="6" t="s">
        <v>104</v>
      </c>
      <c r="E2081" s="6" t="s">
        <v>17</v>
      </c>
      <c r="F2081" s="6">
        <v>1</v>
      </c>
      <c r="G2081" s="6">
        <v>690</v>
      </c>
    </row>
    <row r="2082" s="2" customFormat="true" ht="22.5" customHeight="true" spans="1:7">
      <c r="A2082" s="6">
        <f>2080</f>
        <v>2080</v>
      </c>
      <c r="B2082" s="6" t="s">
        <v>2074</v>
      </c>
      <c r="C2082" s="6" t="s">
        <v>9</v>
      </c>
      <c r="D2082" s="6" t="s">
        <v>19</v>
      </c>
      <c r="E2082" s="6" t="s">
        <v>11</v>
      </c>
      <c r="F2082" s="6">
        <v>1</v>
      </c>
      <c r="G2082" s="6">
        <v>597</v>
      </c>
    </row>
    <row r="2083" s="2" customFormat="true" ht="22.5" customHeight="true" spans="1:7">
      <c r="A2083" s="6">
        <f>2081</f>
        <v>2081</v>
      </c>
      <c r="B2083" s="6" t="s">
        <v>2075</v>
      </c>
      <c r="C2083" s="6" t="s">
        <v>9</v>
      </c>
      <c r="D2083" s="6" t="s">
        <v>67</v>
      </c>
      <c r="E2083" s="6" t="s">
        <v>17</v>
      </c>
      <c r="F2083" s="6">
        <v>1</v>
      </c>
      <c r="G2083" s="6">
        <v>656</v>
      </c>
    </row>
    <row r="2084" s="2" customFormat="true" ht="22.5" customHeight="true" spans="1:7">
      <c r="A2084" s="6">
        <f>2082</f>
        <v>2082</v>
      </c>
      <c r="B2084" s="6" t="s">
        <v>2076</v>
      </c>
      <c r="C2084" s="6" t="s">
        <v>9</v>
      </c>
      <c r="D2084" s="6" t="s">
        <v>202</v>
      </c>
      <c r="E2084" s="6" t="s">
        <v>11</v>
      </c>
      <c r="F2084" s="6">
        <v>2</v>
      </c>
      <c r="G2084" s="6">
        <v>1194</v>
      </c>
    </row>
    <row r="2085" s="2" customFormat="true" ht="22.5" customHeight="true" spans="1:7">
      <c r="A2085" s="6">
        <f>2083</f>
        <v>2083</v>
      </c>
      <c r="B2085" s="6" t="s">
        <v>2077</v>
      </c>
      <c r="C2085" s="6" t="s">
        <v>9</v>
      </c>
      <c r="D2085" s="6" t="s">
        <v>270</v>
      </c>
      <c r="E2085" s="6" t="s">
        <v>11</v>
      </c>
      <c r="F2085" s="6">
        <v>2</v>
      </c>
      <c r="G2085" s="6">
        <v>1168</v>
      </c>
    </row>
    <row r="2086" s="2" customFormat="true" ht="22.5" customHeight="true" spans="1:7">
      <c r="A2086" s="6">
        <f>2084</f>
        <v>2084</v>
      </c>
      <c r="B2086" s="6" t="s">
        <v>2078</v>
      </c>
      <c r="C2086" s="6" t="s">
        <v>15</v>
      </c>
      <c r="D2086" s="6" t="s">
        <v>167</v>
      </c>
      <c r="E2086" s="6" t="s">
        <v>17</v>
      </c>
      <c r="F2086" s="6">
        <v>2</v>
      </c>
      <c r="G2086" s="6">
        <v>1178</v>
      </c>
    </row>
    <row r="2087" s="2" customFormat="true" ht="22.5" customHeight="true" spans="1:7">
      <c r="A2087" s="6">
        <f>2085</f>
        <v>2085</v>
      </c>
      <c r="B2087" s="6" t="s">
        <v>2079</v>
      </c>
      <c r="C2087" s="6" t="s">
        <v>9</v>
      </c>
      <c r="D2087" s="6" t="s">
        <v>164</v>
      </c>
      <c r="E2087" s="6" t="s">
        <v>17</v>
      </c>
      <c r="F2087" s="6">
        <v>1</v>
      </c>
      <c r="G2087" s="6">
        <v>660</v>
      </c>
    </row>
    <row r="2088" s="2" customFormat="true" ht="22.5" customHeight="true" spans="1:7">
      <c r="A2088" s="6">
        <f>2086</f>
        <v>2086</v>
      </c>
      <c r="B2088" s="6" t="s">
        <v>2080</v>
      </c>
      <c r="C2088" s="6" t="s">
        <v>9</v>
      </c>
      <c r="D2088" s="6" t="s">
        <v>180</v>
      </c>
      <c r="E2088" s="6" t="s">
        <v>17</v>
      </c>
      <c r="F2088" s="6">
        <v>1</v>
      </c>
      <c r="G2088" s="6">
        <v>660</v>
      </c>
    </row>
    <row r="2089" s="2" customFormat="true" ht="22.5" customHeight="true" spans="1:7">
      <c r="A2089" s="6">
        <f>2087</f>
        <v>2087</v>
      </c>
      <c r="B2089" s="6" t="s">
        <v>2081</v>
      </c>
      <c r="C2089" s="6" t="s">
        <v>9</v>
      </c>
      <c r="D2089" s="6" t="s">
        <v>117</v>
      </c>
      <c r="E2089" s="6" t="s">
        <v>79</v>
      </c>
      <c r="F2089" s="6">
        <v>1</v>
      </c>
      <c r="G2089" s="6">
        <v>481</v>
      </c>
    </row>
    <row r="2090" s="2" customFormat="true" ht="22.5" customHeight="true" spans="1:7">
      <c r="A2090" s="6">
        <f>2088</f>
        <v>2088</v>
      </c>
      <c r="B2090" s="6" t="s">
        <v>2082</v>
      </c>
      <c r="C2090" s="6" t="s">
        <v>9</v>
      </c>
      <c r="D2090" s="6" t="s">
        <v>149</v>
      </c>
      <c r="E2090" s="6" t="s">
        <v>17</v>
      </c>
      <c r="F2090" s="6">
        <v>1</v>
      </c>
      <c r="G2090" s="6">
        <v>660</v>
      </c>
    </row>
    <row r="2091" s="2" customFormat="true" ht="22.5" customHeight="true" spans="1:7">
      <c r="A2091" s="6">
        <f>2089</f>
        <v>2089</v>
      </c>
      <c r="B2091" s="6" t="s">
        <v>2083</v>
      </c>
      <c r="C2091" s="6" t="s">
        <v>9</v>
      </c>
      <c r="D2091" s="6" t="s">
        <v>202</v>
      </c>
      <c r="E2091" s="6" t="s">
        <v>17</v>
      </c>
      <c r="F2091" s="6">
        <v>2</v>
      </c>
      <c r="G2091" s="6">
        <v>1187</v>
      </c>
    </row>
    <row r="2092" s="2" customFormat="true" ht="22.5" customHeight="true" spans="1:7">
      <c r="A2092" s="6">
        <f>2090</f>
        <v>2090</v>
      </c>
      <c r="B2092" s="6" t="s">
        <v>2084</v>
      </c>
      <c r="C2092" s="6" t="s">
        <v>9</v>
      </c>
      <c r="D2092" s="6" t="s">
        <v>13</v>
      </c>
      <c r="E2092" s="6" t="s">
        <v>79</v>
      </c>
      <c r="F2092" s="6">
        <v>1</v>
      </c>
      <c r="G2092" s="6">
        <v>481</v>
      </c>
    </row>
    <row r="2093" s="2" customFormat="true" ht="22.5" customHeight="true" spans="1:7">
      <c r="A2093" s="6">
        <f>2091</f>
        <v>2091</v>
      </c>
      <c r="B2093" s="6" t="s">
        <v>2085</v>
      </c>
      <c r="C2093" s="6" t="s">
        <v>15</v>
      </c>
      <c r="D2093" s="6" t="s">
        <v>117</v>
      </c>
      <c r="E2093" s="6" t="s">
        <v>17</v>
      </c>
      <c r="F2093" s="6">
        <v>1</v>
      </c>
      <c r="G2093" s="6">
        <v>706</v>
      </c>
    </row>
    <row r="2094" s="2" customFormat="true" ht="22.5" customHeight="true" spans="1:7">
      <c r="A2094" s="6">
        <f>2092</f>
        <v>2092</v>
      </c>
      <c r="B2094" s="6" t="s">
        <v>2086</v>
      </c>
      <c r="C2094" s="6" t="s">
        <v>9</v>
      </c>
      <c r="D2094" s="6" t="s">
        <v>129</v>
      </c>
      <c r="E2094" s="6" t="s">
        <v>17</v>
      </c>
      <c r="F2094" s="6">
        <v>2</v>
      </c>
      <c r="G2094" s="6">
        <v>1244</v>
      </c>
    </row>
    <row r="2095" s="2" customFormat="true" ht="22.5" customHeight="true" spans="1:7">
      <c r="A2095" s="6">
        <f>2093</f>
        <v>2093</v>
      </c>
      <c r="B2095" s="6" t="s">
        <v>2087</v>
      </c>
      <c r="C2095" s="6" t="s">
        <v>9</v>
      </c>
      <c r="D2095" s="6" t="s">
        <v>133</v>
      </c>
      <c r="E2095" s="6" t="s">
        <v>17</v>
      </c>
      <c r="F2095" s="6">
        <v>4</v>
      </c>
      <c r="G2095" s="6">
        <v>2030</v>
      </c>
    </row>
    <row r="2096" s="2" customFormat="true" ht="22.5" customHeight="true" spans="1:7">
      <c r="A2096" s="6">
        <f>2094</f>
        <v>2094</v>
      </c>
      <c r="B2096" s="6" t="s">
        <v>2088</v>
      </c>
      <c r="C2096" s="6" t="s">
        <v>9</v>
      </c>
      <c r="D2096" s="6" t="s">
        <v>67</v>
      </c>
      <c r="E2096" s="6" t="s">
        <v>79</v>
      </c>
      <c r="F2096" s="6">
        <v>3</v>
      </c>
      <c r="G2096" s="6">
        <v>1675</v>
      </c>
    </row>
    <row r="2097" s="2" customFormat="true" ht="22.5" customHeight="true" spans="1:7">
      <c r="A2097" s="6">
        <f>2095</f>
        <v>2095</v>
      </c>
      <c r="B2097" s="6" t="s">
        <v>2089</v>
      </c>
      <c r="C2097" s="6" t="s">
        <v>15</v>
      </c>
      <c r="D2097" s="6" t="s">
        <v>67</v>
      </c>
      <c r="E2097" s="6" t="s">
        <v>17</v>
      </c>
      <c r="F2097" s="6">
        <v>1</v>
      </c>
      <c r="G2097" s="6">
        <v>706</v>
      </c>
    </row>
    <row r="2098" s="2" customFormat="true" ht="22.5" customHeight="true" spans="1:7">
      <c r="A2098" s="6">
        <f>2096</f>
        <v>2096</v>
      </c>
      <c r="B2098" s="6" t="s">
        <v>2090</v>
      </c>
      <c r="C2098" s="6" t="s">
        <v>9</v>
      </c>
      <c r="D2098" s="6" t="s">
        <v>27</v>
      </c>
      <c r="E2098" s="6" t="s">
        <v>17</v>
      </c>
      <c r="F2098" s="6">
        <v>1</v>
      </c>
      <c r="G2098" s="6">
        <v>706</v>
      </c>
    </row>
    <row r="2099" s="2" customFormat="true" ht="22.5" customHeight="true" spans="1:7">
      <c r="A2099" s="6">
        <f>2097</f>
        <v>2097</v>
      </c>
      <c r="B2099" s="6" t="s">
        <v>2091</v>
      </c>
      <c r="C2099" s="6" t="s">
        <v>9</v>
      </c>
      <c r="D2099" s="6" t="s">
        <v>16</v>
      </c>
      <c r="E2099" s="6" t="s">
        <v>17</v>
      </c>
      <c r="F2099" s="6">
        <v>3</v>
      </c>
      <c r="G2099" s="6">
        <v>1697</v>
      </c>
    </row>
    <row r="2100" s="2" customFormat="true" ht="22.5" customHeight="true" spans="1:7">
      <c r="A2100" s="6">
        <f>2098</f>
        <v>2098</v>
      </c>
      <c r="B2100" s="6" t="s">
        <v>2092</v>
      </c>
      <c r="C2100" s="6" t="s">
        <v>15</v>
      </c>
      <c r="D2100" s="6" t="s">
        <v>19</v>
      </c>
      <c r="E2100" s="6" t="s">
        <v>11</v>
      </c>
      <c r="F2100" s="6">
        <v>2</v>
      </c>
      <c r="G2100" s="6">
        <v>1194</v>
      </c>
    </row>
    <row r="2101" s="2" customFormat="true" ht="22.5" customHeight="true" spans="1:7">
      <c r="A2101" s="6">
        <f>2099</f>
        <v>2099</v>
      </c>
      <c r="B2101" s="6" t="s">
        <v>2093</v>
      </c>
      <c r="C2101" s="6" t="s">
        <v>15</v>
      </c>
      <c r="D2101" s="6" t="s">
        <v>230</v>
      </c>
      <c r="E2101" s="6" t="s">
        <v>17</v>
      </c>
      <c r="F2101" s="6">
        <v>1</v>
      </c>
      <c r="G2101" s="6">
        <v>706</v>
      </c>
    </row>
    <row r="2102" s="2" customFormat="true" ht="22.5" customHeight="true" spans="1:7">
      <c r="A2102" s="6">
        <f>2100</f>
        <v>2100</v>
      </c>
      <c r="B2102" s="6" t="s">
        <v>2094</v>
      </c>
      <c r="C2102" s="6" t="s">
        <v>15</v>
      </c>
      <c r="D2102" s="6" t="s">
        <v>209</v>
      </c>
      <c r="E2102" s="6" t="s">
        <v>17</v>
      </c>
      <c r="F2102" s="6">
        <v>1</v>
      </c>
      <c r="G2102" s="6">
        <v>656</v>
      </c>
    </row>
    <row r="2103" s="2" customFormat="true" ht="22.5" customHeight="true" spans="1:7">
      <c r="A2103" s="6">
        <f>2101</f>
        <v>2101</v>
      </c>
      <c r="B2103" s="6" t="s">
        <v>2095</v>
      </c>
      <c r="C2103" s="6" t="s">
        <v>15</v>
      </c>
      <c r="D2103" s="6" t="s">
        <v>13</v>
      </c>
      <c r="E2103" s="6" t="s">
        <v>17</v>
      </c>
      <c r="F2103" s="6">
        <v>2</v>
      </c>
      <c r="G2103" s="6">
        <v>1301</v>
      </c>
    </row>
    <row r="2104" s="2" customFormat="true" ht="22.5" customHeight="true" spans="1:7">
      <c r="A2104" s="6">
        <f>2102</f>
        <v>2102</v>
      </c>
      <c r="B2104" s="6" t="s">
        <v>2096</v>
      </c>
      <c r="C2104" s="6" t="s">
        <v>9</v>
      </c>
      <c r="D2104" s="6" t="s">
        <v>13</v>
      </c>
      <c r="E2104" s="6" t="s">
        <v>11</v>
      </c>
      <c r="F2104" s="6">
        <v>1</v>
      </c>
      <c r="G2104" s="6">
        <v>597</v>
      </c>
    </row>
    <row r="2105" s="2" customFormat="true" ht="22.5" customHeight="true" spans="1:7">
      <c r="A2105" s="6">
        <f>2103</f>
        <v>2103</v>
      </c>
      <c r="B2105" s="6" t="s">
        <v>2097</v>
      </c>
      <c r="C2105" s="6" t="s">
        <v>9</v>
      </c>
      <c r="D2105" s="6" t="s">
        <v>16</v>
      </c>
      <c r="E2105" s="6" t="s">
        <v>11</v>
      </c>
      <c r="F2105" s="6">
        <v>2</v>
      </c>
      <c r="G2105" s="6">
        <v>1188</v>
      </c>
    </row>
    <row r="2106" s="2" customFormat="true" ht="22.5" customHeight="true" spans="1:7">
      <c r="A2106" s="6">
        <f>2104</f>
        <v>2104</v>
      </c>
      <c r="B2106" s="6" t="s">
        <v>2098</v>
      </c>
      <c r="C2106" s="6" t="s">
        <v>9</v>
      </c>
      <c r="D2106" s="6" t="s">
        <v>19</v>
      </c>
      <c r="E2106" s="6" t="s">
        <v>17</v>
      </c>
      <c r="F2106" s="6">
        <v>2</v>
      </c>
      <c r="G2106" s="6">
        <v>1253</v>
      </c>
    </row>
    <row r="2107" s="2" customFormat="true" ht="22.5" customHeight="true" spans="1:7">
      <c r="A2107" s="6">
        <f>2105</f>
        <v>2105</v>
      </c>
      <c r="B2107" s="6" t="s">
        <v>2099</v>
      </c>
      <c r="C2107" s="6" t="s">
        <v>15</v>
      </c>
      <c r="D2107" s="6" t="s">
        <v>169</v>
      </c>
      <c r="E2107" s="6" t="s">
        <v>17</v>
      </c>
      <c r="F2107" s="6">
        <v>4</v>
      </c>
      <c r="G2107" s="6">
        <v>2110</v>
      </c>
    </row>
    <row r="2108" s="2" customFormat="true" ht="22.5" customHeight="true" spans="1:7">
      <c r="A2108" s="6">
        <f>2106</f>
        <v>2106</v>
      </c>
      <c r="B2108" s="6" t="s">
        <v>2100</v>
      </c>
      <c r="C2108" s="6" t="s">
        <v>9</v>
      </c>
      <c r="D2108" s="6" t="s">
        <v>209</v>
      </c>
      <c r="E2108" s="6" t="s">
        <v>17</v>
      </c>
      <c r="F2108" s="6">
        <v>1</v>
      </c>
      <c r="G2108" s="6">
        <v>656</v>
      </c>
    </row>
    <row r="2109" s="2" customFormat="true" ht="22.5" customHeight="true" spans="1:7">
      <c r="A2109" s="6">
        <f>2107</f>
        <v>2107</v>
      </c>
      <c r="B2109" s="6" t="s">
        <v>2101</v>
      </c>
      <c r="C2109" s="6" t="s">
        <v>9</v>
      </c>
      <c r="D2109" s="6" t="s">
        <v>167</v>
      </c>
      <c r="E2109" s="6" t="s">
        <v>17</v>
      </c>
      <c r="F2109" s="6">
        <v>2</v>
      </c>
      <c r="G2109" s="6">
        <v>1178</v>
      </c>
    </row>
    <row r="2110" s="2" customFormat="true" ht="22.5" customHeight="true" spans="1:7">
      <c r="A2110" s="6">
        <f>2108</f>
        <v>2108</v>
      </c>
      <c r="B2110" s="6" t="s">
        <v>2102</v>
      </c>
      <c r="C2110" s="6" t="s">
        <v>15</v>
      </c>
      <c r="D2110" s="6" t="s">
        <v>222</v>
      </c>
      <c r="E2110" s="6" t="s">
        <v>17</v>
      </c>
      <c r="F2110" s="6">
        <v>2</v>
      </c>
      <c r="G2110" s="6">
        <v>1178</v>
      </c>
    </row>
    <row r="2111" s="2" customFormat="true" ht="22.5" customHeight="true" spans="1:7">
      <c r="A2111" s="6">
        <f>2109</f>
        <v>2109</v>
      </c>
      <c r="B2111" s="6" t="s">
        <v>2103</v>
      </c>
      <c r="C2111" s="6" t="s">
        <v>9</v>
      </c>
      <c r="D2111" s="6" t="s">
        <v>202</v>
      </c>
      <c r="E2111" s="6" t="s">
        <v>17</v>
      </c>
      <c r="F2111" s="6">
        <v>1</v>
      </c>
      <c r="G2111" s="6">
        <v>656</v>
      </c>
    </row>
    <row r="2112" s="2" customFormat="true" ht="22.5" customHeight="true" spans="1:7">
      <c r="A2112" s="6">
        <f>2110</f>
        <v>2110</v>
      </c>
      <c r="B2112" s="6" t="s">
        <v>2104</v>
      </c>
      <c r="C2112" s="6" t="s">
        <v>15</v>
      </c>
      <c r="D2112" s="6" t="s">
        <v>149</v>
      </c>
      <c r="E2112" s="6" t="s">
        <v>17</v>
      </c>
      <c r="F2112" s="6">
        <v>1</v>
      </c>
      <c r="G2112" s="6">
        <v>660</v>
      </c>
    </row>
    <row r="2113" s="2" customFormat="true" ht="22.5" customHeight="true" spans="1:7">
      <c r="A2113" s="6">
        <f>2111</f>
        <v>2111</v>
      </c>
      <c r="B2113" s="6" t="s">
        <v>2105</v>
      </c>
      <c r="C2113" s="6" t="s">
        <v>9</v>
      </c>
      <c r="D2113" s="6" t="s">
        <v>169</v>
      </c>
      <c r="E2113" s="6" t="s">
        <v>17</v>
      </c>
      <c r="F2113" s="6">
        <v>4</v>
      </c>
      <c r="G2113" s="6">
        <v>2412</v>
      </c>
    </row>
    <row r="2114" s="2" customFormat="true" ht="22.5" customHeight="true" spans="1:7">
      <c r="A2114" s="6">
        <f>2112</f>
        <v>2112</v>
      </c>
      <c r="B2114" s="6" t="s">
        <v>2106</v>
      </c>
      <c r="C2114" s="6" t="s">
        <v>15</v>
      </c>
      <c r="D2114" s="6" t="s">
        <v>167</v>
      </c>
      <c r="E2114" s="6" t="s">
        <v>17</v>
      </c>
      <c r="F2114" s="6">
        <v>1</v>
      </c>
      <c r="G2114" s="6">
        <v>660</v>
      </c>
    </row>
    <row r="2115" s="2" customFormat="true" ht="22.5" customHeight="true" spans="1:7">
      <c r="A2115" s="6">
        <f>2113</f>
        <v>2113</v>
      </c>
      <c r="B2115" s="6" t="s">
        <v>2107</v>
      </c>
      <c r="C2115" s="6" t="s">
        <v>9</v>
      </c>
      <c r="D2115" s="6" t="s">
        <v>129</v>
      </c>
      <c r="E2115" s="6" t="s">
        <v>17</v>
      </c>
      <c r="F2115" s="6">
        <v>2</v>
      </c>
      <c r="G2115" s="6">
        <v>1244</v>
      </c>
    </row>
    <row r="2116" s="2" customFormat="true" ht="22.5" customHeight="true" spans="1:7">
      <c r="A2116" s="6">
        <f>2114</f>
        <v>2114</v>
      </c>
      <c r="B2116" s="6" t="s">
        <v>2108</v>
      </c>
      <c r="C2116" s="6" t="s">
        <v>15</v>
      </c>
      <c r="D2116" s="6" t="s">
        <v>35</v>
      </c>
      <c r="E2116" s="6" t="s">
        <v>17</v>
      </c>
      <c r="F2116" s="6">
        <v>1</v>
      </c>
      <c r="G2116" s="6">
        <v>706</v>
      </c>
    </row>
    <row r="2117" s="2" customFormat="true" ht="22.5" customHeight="true" spans="1:7">
      <c r="A2117" s="6">
        <f>2115</f>
        <v>2115</v>
      </c>
      <c r="B2117" s="6" t="s">
        <v>2109</v>
      </c>
      <c r="C2117" s="6" t="s">
        <v>9</v>
      </c>
      <c r="D2117" s="6" t="s">
        <v>104</v>
      </c>
      <c r="E2117" s="6" t="s">
        <v>17</v>
      </c>
      <c r="F2117" s="6">
        <v>1</v>
      </c>
      <c r="G2117" s="6">
        <v>690</v>
      </c>
    </row>
    <row r="2118" s="2" customFormat="true" ht="22.5" customHeight="true" spans="1:7">
      <c r="A2118" s="6">
        <f>2116</f>
        <v>2116</v>
      </c>
      <c r="B2118" s="6" t="s">
        <v>2110</v>
      </c>
      <c r="C2118" s="6" t="s">
        <v>9</v>
      </c>
      <c r="D2118" s="6" t="s">
        <v>67</v>
      </c>
      <c r="E2118" s="6" t="s">
        <v>79</v>
      </c>
      <c r="F2118" s="6">
        <v>1</v>
      </c>
      <c r="G2118" s="6">
        <v>481</v>
      </c>
    </row>
    <row r="2119" s="2" customFormat="true" ht="22.5" customHeight="true" spans="1:7">
      <c r="A2119" s="6">
        <f>2117</f>
        <v>2117</v>
      </c>
      <c r="B2119" s="6" t="s">
        <v>2111</v>
      </c>
      <c r="C2119" s="6" t="s">
        <v>9</v>
      </c>
      <c r="D2119" s="6" t="s">
        <v>416</v>
      </c>
      <c r="E2119" s="6" t="s">
        <v>11</v>
      </c>
      <c r="F2119" s="6">
        <v>3</v>
      </c>
      <c r="G2119" s="6">
        <v>1752</v>
      </c>
    </row>
    <row r="2120" s="2" customFormat="true" ht="22.5" customHeight="true" spans="1:7">
      <c r="A2120" s="6">
        <f>2118</f>
        <v>2118</v>
      </c>
      <c r="B2120" s="6" t="s">
        <v>2112</v>
      </c>
      <c r="C2120" s="6" t="s">
        <v>15</v>
      </c>
      <c r="D2120" s="6" t="s">
        <v>13</v>
      </c>
      <c r="E2120" s="6" t="s">
        <v>11</v>
      </c>
      <c r="F2120" s="6">
        <v>2</v>
      </c>
      <c r="G2120" s="6">
        <v>1065</v>
      </c>
    </row>
    <row r="2121" s="2" customFormat="true" ht="22.5" customHeight="true" spans="1:7">
      <c r="A2121" s="6">
        <f>2119</f>
        <v>2119</v>
      </c>
      <c r="B2121" s="6" t="s">
        <v>2113</v>
      </c>
      <c r="C2121" s="6" t="s">
        <v>9</v>
      </c>
      <c r="D2121" s="6" t="s">
        <v>10</v>
      </c>
      <c r="E2121" s="6" t="s">
        <v>11</v>
      </c>
      <c r="F2121" s="6">
        <v>2</v>
      </c>
      <c r="G2121" s="6">
        <v>1194</v>
      </c>
    </row>
    <row r="2122" s="2" customFormat="true" ht="22.5" customHeight="true" spans="1:7">
      <c r="A2122" s="6">
        <f>2120</f>
        <v>2120</v>
      </c>
      <c r="B2122" s="6" t="s">
        <v>2114</v>
      </c>
      <c r="C2122" s="6" t="s">
        <v>15</v>
      </c>
      <c r="D2122" s="6" t="s">
        <v>35</v>
      </c>
      <c r="E2122" s="6" t="s">
        <v>79</v>
      </c>
      <c r="F2122" s="6">
        <v>3</v>
      </c>
      <c r="G2122" s="6">
        <v>1675</v>
      </c>
    </row>
    <row r="2123" s="2" customFormat="true" ht="22.5" customHeight="true" spans="1:7">
      <c r="A2123" s="6">
        <f>2121</f>
        <v>2121</v>
      </c>
      <c r="B2123" s="6" t="s">
        <v>2115</v>
      </c>
      <c r="C2123" s="6" t="s">
        <v>15</v>
      </c>
      <c r="D2123" s="6" t="s">
        <v>138</v>
      </c>
      <c r="E2123" s="6" t="s">
        <v>17</v>
      </c>
      <c r="F2123" s="6">
        <v>4</v>
      </c>
      <c r="G2123" s="6">
        <v>2331</v>
      </c>
    </row>
    <row r="2124" s="2" customFormat="true" ht="22.5" customHeight="true" spans="1:7">
      <c r="A2124" s="6">
        <f>2122</f>
        <v>2122</v>
      </c>
      <c r="B2124" s="6" t="s">
        <v>2116</v>
      </c>
      <c r="C2124" s="6" t="s">
        <v>9</v>
      </c>
      <c r="D2124" s="6" t="s">
        <v>239</v>
      </c>
      <c r="E2124" s="6" t="s">
        <v>11</v>
      </c>
      <c r="F2124" s="6">
        <v>4</v>
      </c>
      <c r="G2124" s="6">
        <v>2336</v>
      </c>
    </row>
    <row r="2125" s="2" customFormat="true" ht="22.5" customHeight="true" spans="1:7">
      <c r="A2125" s="6">
        <f>2123</f>
        <v>2123</v>
      </c>
      <c r="B2125" s="6" t="s">
        <v>2117</v>
      </c>
      <c r="C2125" s="6" t="s">
        <v>9</v>
      </c>
      <c r="D2125" s="6" t="s">
        <v>129</v>
      </c>
      <c r="E2125" s="6" t="s">
        <v>17</v>
      </c>
      <c r="F2125" s="6">
        <v>1</v>
      </c>
      <c r="G2125" s="6">
        <v>660</v>
      </c>
    </row>
    <row r="2126" s="2" customFormat="true" ht="22.5" customHeight="true" spans="1:7">
      <c r="A2126" s="6">
        <f>2124</f>
        <v>2124</v>
      </c>
      <c r="B2126" s="6" t="s">
        <v>2118</v>
      </c>
      <c r="C2126" s="6" t="s">
        <v>9</v>
      </c>
      <c r="D2126" s="6" t="s">
        <v>143</v>
      </c>
      <c r="E2126" s="6" t="s">
        <v>17</v>
      </c>
      <c r="F2126" s="6">
        <v>4</v>
      </c>
      <c r="G2126" s="6">
        <v>2356</v>
      </c>
    </row>
    <row r="2127" s="2" customFormat="true" ht="22.5" customHeight="true" spans="1:7">
      <c r="A2127" s="6">
        <f>2125</f>
        <v>2125</v>
      </c>
      <c r="B2127" s="6" t="s">
        <v>2119</v>
      </c>
      <c r="C2127" s="6" t="s">
        <v>9</v>
      </c>
      <c r="D2127" s="6" t="s">
        <v>10</v>
      </c>
      <c r="E2127" s="6" t="s">
        <v>11</v>
      </c>
      <c r="F2127" s="6">
        <v>3</v>
      </c>
      <c r="G2127" s="6">
        <v>1576</v>
      </c>
    </row>
    <row r="2128" s="2" customFormat="true" ht="22.5" customHeight="true" spans="1:7">
      <c r="A2128" s="6">
        <f>2126</f>
        <v>2126</v>
      </c>
      <c r="B2128" s="6" t="s">
        <v>2120</v>
      </c>
      <c r="C2128" s="6" t="s">
        <v>9</v>
      </c>
      <c r="D2128" s="6" t="s">
        <v>222</v>
      </c>
      <c r="E2128" s="6" t="s">
        <v>17</v>
      </c>
      <c r="F2128" s="6">
        <v>1</v>
      </c>
      <c r="G2128" s="6">
        <v>660</v>
      </c>
    </row>
    <row r="2129" s="2" customFormat="true" ht="22.5" customHeight="true" spans="1:7">
      <c r="A2129" s="6">
        <f>2127</f>
        <v>2127</v>
      </c>
      <c r="B2129" s="6" t="s">
        <v>2121</v>
      </c>
      <c r="C2129" s="6" t="s">
        <v>9</v>
      </c>
      <c r="D2129" s="6" t="s">
        <v>67</v>
      </c>
      <c r="E2129" s="6" t="s">
        <v>17</v>
      </c>
      <c r="F2129" s="6">
        <v>2</v>
      </c>
      <c r="G2129" s="6">
        <v>1253</v>
      </c>
    </row>
    <row r="2130" s="2" customFormat="true" ht="22.5" customHeight="true" spans="1:7">
      <c r="A2130" s="6">
        <f>2128</f>
        <v>2128</v>
      </c>
      <c r="B2130" s="6" t="s">
        <v>2122</v>
      </c>
      <c r="C2130" s="6" t="s">
        <v>9</v>
      </c>
      <c r="D2130" s="6" t="s">
        <v>146</v>
      </c>
      <c r="E2130" s="6" t="s">
        <v>17</v>
      </c>
      <c r="F2130" s="6">
        <v>2</v>
      </c>
      <c r="G2130" s="6">
        <v>1178</v>
      </c>
    </row>
    <row r="2131" s="2" customFormat="true" ht="22.5" customHeight="true" spans="1:7">
      <c r="A2131" s="6">
        <f>2129</f>
        <v>2129</v>
      </c>
      <c r="B2131" s="6" t="s">
        <v>2123</v>
      </c>
      <c r="C2131" s="6" t="s">
        <v>9</v>
      </c>
      <c r="D2131" s="6" t="s">
        <v>13</v>
      </c>
      <c r="E2131" s="6" t="s">
        <v>11</v>
      </c>
      <c r="F2131" s="6">
        <v>2</v>
      </c>
      <c r="G2131" s="6">
        <v>1078</v>
      </c>
    </row>
    <row r="2132" s="2" customFormat="true" ht="22.5" customHeight="true" spans="1:7">
      <c r="A2132" s="6">
        <f>2130</f>
        <v>2130</v>
      </c>
      <c r="B2132" s="6" t="s">
        <v>424</v>
      </c>
      <c r="C2132" s="6" t="s">
        <v>9</v>
      </c>
      <c r="D2132" s="6" t="s">
        <v>260</v>
      </c>
      <c r="E2132" s="6" t="s">
        <v>17</v>
      </c>
      <c r="F2132" s="6">
        <v>2</v>
      </c>
      <c r="G2132" s="6">
        <v>1244</v>
      </c>
    </row>
    <row r="2133" s="2" customFormat="true" ht="22.5" customHeight="true" spans="1:7">
      <c r="A2133" s="6">
        <f>2131</f>
        <v>2131</v>
      </c>
      <c r="B2133" s="6" t="s">
        <v>2124</v>
      </c>
      <c r="C2133" s="6" t="s">
        <v>9</v>
      </c>
      <c r="D2133" s="6" t="s">
        <v>67</v>
      </c>
      <c r="E2133" s="6" t="s">
        <v>79</v>
      </c>
      <c r="F2133" s="6">
        <v>1</v>
      </c>
      <c r="G2133" s="6">
        <v>481</v>
      </c>
    </row>
    <row r="2134" s="2" customFormat="true" ht="22.5" customHeight="true" spans="1:7">
      <c r="A2134" s="6">
        <f>2132</f>
        <v>2132</v>
      </c>
      <c r="B2134" s="6" t="s">
        <v>2125</v>
      </c>
      <c r="C2134" s="6" t="s">
        <v>9</v>
      </c>
      <c r="D2134" s="6" t="s">
        <v>188</v>
      </c>
      <c r="E2134" s="6" t="s">
        <v>17</v>
      </c>
      <c r="F2134" s="6">
        <v>2</v>
      </c>
      <c r="G2134" s="6">
        <v>1093</v>
      </c>
    </row>
    <row r="2135" s="2" customFormat="true" ht="22.5" customHeight="true" spans="1:7">
      <c r="A2135" s="6">
        <f>2133</f>
        <v>2133</v>
      </c>
      <c r="B2135" s="6" t="s">
        <v>2126</v>
      </c>
      <c r="C2135" s="6" t="s">
        <v>15</v>
      </c>
      <c r="D2135" s="6" t="s">
        <v>270</v>
      </c>
      <c r="E2135" s="6" t="s">
        <v>79</v>
      </c>
      <c r="F2135" s="6">
        <v>1</v>
      </c>
      <c r="G2135" s="6">
        <v>483</v>
      </c>
    </row>
    <row r="2136" s="2" customFormat="true" ht="22.5" customHeight="true" spans="1:7">
      <c r="A2136" s="6">
        <f>2134</f>
        <v>2134</v>
      </c>
      <c r="B2136" s="6" t="s">
        <v>2127</v>
      </c>
      <c r="C2136" s="6" t="s">
        <v>15</v>
      </c>
      <c r="D2136" s="6" t="s">
        <v>159</v>
      </c>
      <c r="E2136" s="6" t="s">
        <v>17</v>
      </c>
      <c r="F2136" s="6">
        <v>1</v>
      </c>
      <c r="G2136" s="6">
        <v>660</v>
      </c>
    </row>
    <row r="2137" s="2" customFormat="true" ht="22.5" customHeight="true" spans="1:7">
      <c r="A2137" s="6">
        <f>2135</f>
        <v>2135</v>
      </c>
      <c r="B2137" s="6" t="s">
        <v>2128</v>
      </c>
      <c r="C2137" s="6" t="s">
        <v>9</v>
      </c>
      <c r="D2137" s="6" t="s">
        <v>167</v>
      </c>
      <c r="E2137" s="6" t="s">
        <v>17</v>
      </c>
      <c r="F2137" s="6">
        <v>2</v>
      </c>
      <c r="G2137" s="6">
        <v>1027</v>
      </c>
    </row>
    <row r="2138" s="2" customFormat="true" ht="22.5" customHeight="true" spans="1:7">
      <c r="A2138" s="6">
        <f>2136</f>
        <v>2136</v>
      </c>
      <c r="B2138" s="6" t="s">
        <v>2129</v>
      </c>
      <c r="C2138" s="6" t="s">
        <v>9</v>
      </c>
      <c r="D2138" s="6" t="s">
        <v>67</v>
      </c>
      <c r="E2138" s="6" t="s">
        <v>11</v>
      </c>
      <c r="F2138" s="6">
        <v>2</v>
      </c>
      <c r="G2138" s="6">
        <v>1092</v>
      </c>
    </row>
    <row r="2139" s="2" customFormat="true" ht="22.5" customHeight="true" spans="1:7">
      <c r="A2139" s="6">
        <f>2137</f>
        <v>2137</v>
      </c>
      <c r="B2139" s="6" t="s">
        <v>2130</v>
      </c>
      <c r="C2139" s="6" t="s">
        <v>9</v>
      </c>
      <c r="D2139" s="6" t="s">
        <v>143</v>
      </c>
      <c r="E2139" s="6" t="s">
        <v>17</v>
      </c>
      <c r="F2139" s="6">
        <v>2</v>
      </c>
      <c r="G2139" s="6">
        <v>1127</v>
      </c>
    </row>
    <row r="2140" s="2" customFormat="true" ht="22.5" customHeight="true" spans="1:7">
      <c r="A2140" s="6">
        <f>2138</f>
        <v>2138</v>
      </c>
      <c r="B2140" s="6" t="s">
        <v>2131</v>
      </c>
      <c r="C2140" s="6" t="s">
        <v>9</v>
      </c>
      <c r="D2140" s="6" t="s">
        <v>138</v>
      </c>
      <c r="E2140" s="6" t="s">
        <v>11</v>
      </c>
      <c r="F2140" s="6">
        <v>1</v>
      </c>
      <c r="G2140" s="6">
        <v>597</v>
      </c>
    </row>
    <row r="2141" s="2" customFormat="true" ht="22.5" customHeight="true" spans="1:7">
      <c r="A2141" s="6">
        <f>2139</f>
        <v>2139</v>
      </c>
      <c r="B2141" s="6" t="s">
        <v>2132</v>
      </c>
      <c r="C2141" s="6" t="s">
        <v>15</v>
      </c>
      <c r="D2141" s="6" t="s">
        <v>416</v>
      </c>
      <c r="E2141" s="6" t="s">
        <v>17</v>
      </c>
      <c r="F2141" s="6">
        <v>1</v>
      </c>
      <c r="G2141" s="6">
        <v>660</v>
      </c>
    </row>
    <row r="2142" s="2" customFormat="true" ht="22.5" customHeight="true" spans="1:7">
      <c r="A2142" s="6">
        <f>2140</f>
        <v>2140</v>
      </c>
      <c r="B2142" s="6" t="s">
        <v>2133</v>
      </c>
      <c r="C2142" s="6" t="s">
        <v>9</v>
      </c>
      <c r="D2142" s="6" t="s">
        <v>143</v>
      </c>
      <c r="E2142" s="6" t="s">
        <v>17</v>
      </c>
      <c r="F2142" s="6">
        <v>4</v>
      </c>
      <c r="G2142" s="6">
        <v>2178</v>
      </c>
    </row>
    <row r="2143" s="2" customFormat="true" ht="22.5" customHeight="true" spans="1:7">
      <c r="A2143" s="6">
        <f>2141</f>
        <v>2141</v>
      </c>
      <c r="B2143" s="6" t="s">
        <v>2134</v>
      </c>
      <c r="C2143" s="6" t="s">
        <v>15</v>
      </c>
      <c r="D2143" s="6" t="s">
        <v>202</v>
      </c>
      <c r="E2143" s="6" t="s">
        <v>17</v>
      </c>
      <c r="F2143" s="6">
        <v>4</v>
      </c>
      <c r="G2143" s="6">
        <v>2381</v>
      </c>
    </row>
    <row r="2144" s="2" customFormat="true" ht="22.5" customHeight="true" spans="1:7">
      <c r="A2144" s="6">
        <f>2142</f>
        <v>2142</v>
      </c>
      <c r="B2144" s="6" t="s">
        <v>2135</v>
      </c>
      <c r="C2144" s="6" t="s">
        <v>9</v>
      </c>
      <c r="D2144" s="6" t="s">
        <v>167</v>
      </c>
      <c r="E2144" s="6" t="s">
        <v>17</v>
      </c>
      <c r="F2144" s="6">
        <v>4</v>
      </c>
      <c r="G2144" s="6">
        <v>1729</v>
      </c>
    </row>
    <row r="2145" s="2" customFormat="true" ht="22.5" customHeight="true" spans="1:7">
      <c r="A2145" s="6">
        <f>2143</f>
        <v>2143</v>
      </c>
      <c r="B2145" s="6" t="s">
        <v>2136</v>
      </c>
      <c r="C2145" s="6" t="s">
        <v>9</v>
      </c>
      <c r="D2145" s="6" t="s">
        <v>416</v>
      </c>
      <c r="E2145" s="6" t="s">
        <v>11</v>
      </c>
      <c r="F2145" s="6">
        <v>2</v>
      </c>
      <c r="G2145" s="6">
        <v>1102</v>
      </c>
    </row>
    <row r="2146" s="2" customFormat="true" ht="22.5" customHeight="true" spans="1:7">
      <c r="A2146" s="6">
        <f>2144</f>
        <v>2144</v>
      </c>
      <c r="B2146" s="6" t="s">
        <v>2137</v>
      </c>
      <c r="C2146" s="6" t="s">
        <v>9</v>
      </c>
      <c r="D2146" s="6" t="s">
        <v>13</v>
      </c>
      <c r="E2146" s="6" t="s">
        <v>17</v>
      </c>
      <c r="F2146" s="6">
        <v>1</v>
      </c>
      <c r="G2146" s="6">
        <v>706</v>
      </c>
    </row>
    <row r="2147" s="2" customFormat="true" ht="22.5" customHeight="true" spans="1:7">
      <c r="A2147" s="6">
        <f>2145</f>
        <v>2145</v>
      </c>
      <c r="B2147" s="6" t="s">
        <v>2138</v>
      </c>
      <c r="C2147" s="6" t="s">
        <v>9</v>
      </c>
      <c r="D2147" s="6" t="s">
        <v>180</v>
      </c>
      <c r="E2147" s="6" t="s">
        <v>17</v>
      </c>
      <c r="F2147" s="6">
        <v>1</v>
      </c>
      <c r="G2147" s="6">
        <v>627</v>
      </c>
    </row>
    <row r="2148" s="2" customFormat="true" ht="22.5" customHeight="true" spans="1:7">
      <c r="A2148" s="6">
        <f>2146</f>
        <v>2146</v>
      </c>
      <c r="B2148" s="6" t="s">
        <v>2139</v>
      </c>
      <c r="C2148" s="6" t="s">
        <v>9</v>
      </c>
      <c r="D2148" s="6" t="s">
        <v>104</v>
      </c>
      <c r="E2148" s="6" t="s">
        <v>17</v>
      </c>
      <c r="F2148" s="6">
        <v>4</v>
      </c>
      <c r="G2148" s="6">
        <v>2110</v>
      </c>
    </row>
    <row r="2149" s="2" customFormat="true" ht="22.5" customHeight="true" spans="1:7">
      <c r="A2149" s="6">
        <f>2147</f>
        <v>2147</v>
      </c>
      <c r="B2149" s="6" t="s">
        <v>2140</v>
      </c>
      <c r="C2149" s="6" t="s">
        <v>15</v>
      </c>
      <c r="D2149" s="6" t="s">
        <v>129</v>
      </c>
      <c r="E2149" s="6" t="s">
        <v>17</v>
      </c>
      <c r="F2149" s="6">
        <v>2</v>
      </c>
      <c r="G2149" s="6">
        <v>1198</v>
      </c>
    </row>
    <row r="2150" s="2" customFormat="true" ht="22.5" customHeight="true" spans="1:7">
      <c r="A2150" s="6">
        <f>2148</f>
        <v>2148</v>
      </c>
      <c r="B2150" s="6" t="s">
        <v>2141</v>
      </c>
      <c r="C2150" s="6" t="s">
        <v>9</v>
      </c>
      <c r="D2150" s="6" t="s">
        <v>230</v>
      </c>
      <c r="E2150" s="6" t="s">
        <v>17</v>
      </c>
      <c r="F2150" s="6">
        <v>1</v>
      </c>
      <c r="G2150" s="6">
        <v>656</v>
      </c>
    </row>
    <row r="2151" s="2" customFormat="true" ht="22.5" customHeight="true" spans="1:7">
      <c r="A2151" s="6">
        <f>2149</f>
        <v>2149</v>
      </c>
      <c r="B2151" s="6" t="s">
        <v>2142</v>
      </c>
      <c r="C2151" s="6" t="s">
        <v>9</v>
      </c>
      <c r="D2151" s="6" t="s">
        <v>124</v>
      </c>
      <c r="E2151" s="6" t="s">
        <v>17</v>
      </c>
      <c r="F2151" s="6">
        <v>1</v>
      </c>
      <c r="G2151" s="6">
        <v>599</v>
      </c>
    </row>
    <row r="2152" s="2" customFormat="true" ht="22.5" customHeight="true" spans="1:7">
      <c r="A2152" s="6">
        <f>2150</f>
        <v>2150</v>
      </c>
      <c r="B2152" s="6" t="s">
        <v>2011</v>
      </c>
      <c r="C2152" s="6" t="s">
        <v>9</v>
      </c>
      <c r="D2152" s="6" t="s">
        <v>260</v>
      </c>
      <c r="E2152" s="6" t="s">
        <v>17</v>
      </c>
      <c r="F2152" s="6">
        <v>4</v>
      </c>
      <c r="G2152" s="6">
        <v>2280</v>
      </c>
    </row>
    <row r="2153" s="2" customFormat="true" ht="22.5" customHeight="true" spans="1:7">
      <c r="A2153" s="6">
        <f>2151</f>
        <v>2151</v>
      </c>
      <c r="B2153" s="6" t="s">
        <v>2143</v>
      </c>
      <c r="C2153" s="6" t="s">
        <v>15</v>
      </c>
      <c r="D2153" s="6" t="s">
        <v>209</v>
      </c>
      <c r="E2153" s="6" t="s">
        <v>17</v>
      </c>
      <c r="F2153" s="6">
        <v>1</v>
      </c>
      <c r="G2153" s="6">
        <v>656</v>
      </c>
    </row>
    <row r="2154" s="2" customFormat="true" ht="22.5" customHeight="true" spans="1:7">
      <c r="A2154" s="6">
        <f>2152</f>
        <v>2152</v>
      </c>
      <c r="B2154" s="6" t="s">
        <v>2144</v>
      </c>
      <c r="C2154" s="6" t="s">
        <v>9</v>
      </c>
      <c r="D2154" s="6" t="s">
        <v>117</v>
      </c>
      <c r="E2154" s="6" t="s">
        <v>11</v>
      </c>
      <c r="F2154" s="6">
        <v>2</v>
      </c>
      <c r="G2154" s="6">
        <v>1194</v>
      </c>
    </row>
    <row r="2155" s="2" customFormat="true" ht="22.5" customHeight="true" spans="1:7">
      <c r="A2155" s="6">
        <f>2153</f>
        <v>2153</v>
      </c>
      <c r="B2155" s="6" t="s">
        <v>2145</v>
      </c>
      <c r="C2155" s="6" t="s">
        <v>9</v>
      </c>
      <c r="D2155" s="6" t="s">
        <v>143</v>
      </c>
      <c r="E2155" s="6" t="s">
        <v>17</v>
      </c>
      <c r="F2155" s="6">
        <v>2</v>
      </c>
      <c r="G2155" s="6">
        <v>1178</v>
      </c>
    </row>
    <row r="2156" s="2" customFormat="true" ht="22.5" customHeight="true" spans="1:7">
      <c r="A2156" s="6">
        <f>2154</f>
        <v>2154</v>
      </c>
      <c r="B2156" s="6" t="s">
        <v>2146</v>
      </c>
      <c r="C2156" s="6" t="s">
        <v>15</v>
      </c>
      <c r="D2156" s="6" t="s">
        <v>129</v>
      </c>
      <c r="E2156" s="6" t="s">
        <v>17</v>
      </c>
      <c r="F2156" s="6">
        <v>2</v>
      </c>
      <c r="G2156" s="6">
        <v>1178</v>
      </c>
    </row>
    <row r="2157" s="2" customFormat="true" ht="22.5" customHeight="true" spans="1:7">
      <c r="A2157" s="6">
        <f>2155</f>
        <v>2155</v>
      </c>
      <c r="B2157" s="6" t="s">
        <v>2147</v>
      </c>
      <c r="C2157" s="6" t="s">
        <v>9</v>
      </c>
      <c r="D2157" s="6" t="s">
        <v>222</v>
      </c>
      <c r="E2157" s="6" t="s">
        <v>17</v>
      </c>
      <c r="F2157" s="6">
        <v>2</v>
      </c>
      <c r="G2157" s="6">
        <v>1178</v>
      </c>
    </row>
    <row r="2158" s="2" customFormat="true" ht="22.5" customHeight="true" spans="1:7">
      <c r="A2158" s="6">
        <f>2156</f>
        <v>2156</v>
      </c>
      <c r="B2158" s="6" t="s">
        <v>2148</v>
      </c>
      <c r="C2158" s="6" t="s">
        <v>15</v>
      </c>
      <c r="D2158" s="6" t="s">
        <v>49</v>
      </c>
      <c r="E2158" s="6" t="s">
        <v>17</v>
      </c>
      <c r="F2158" s="6">
        <v>1</v>
      </c>
      <c r="G2158" s="6">
        <v>656</v>
      </c>
    </row>
    <row r="2159" s="2" customFormat="true" ht="22.5" customHeight="true" spans="1:7">
      <c r="A2159" s="6">
        <f>2157</f>
        <v>2157</v>
      </c>
      <c r="B2159" s="6" t="s">
        <v>2149</v>
      </c>
      <c r="C2159" s="6" t="s">
        <v>9</v>
      </c>
      <c r="D2159" s="6" t="s">
        <v>122</v>
      </c>
      <c r="E2159" s="6" t="s">
        <v>17</v>
      </c>
      <c r="F2159" s="6">
        <v>1</v>
      </c>
      <c r="G2159" s="6">
        <v>627</v>
      </c>
    </row>
    <row r="2160" s="2" customFormat="true" ht="22.5" customHeight="true" spans="1:7">
      <c r="A2160" s="6">
        <f>2158</f>
        <v>2158</v>
      </c>
      <c r="B2160" s="6" t="s">
        <v>2150</v>
      </c>
      <c r="C2160" s="6" t="s">
        <v>9</v>
      </c>
      <c r="D2160" s="6" t="s">
        <v>49</v>
      </c>
      <c r="E2160" s="6" t="s">
        <v>17</v>
      </c>
      <c r="F2160" s="6">
        <v>1</v>
      </c>
      <c r="G2160" s="6">
        <v>706</v>
      </c>
    </row>
    <row r="2161" s="2" customFormat="true" ht="22.5" customHeight="true" spans="1:7">
      <c r="A2161" s="6">
        <f>2159</f>
        <v>2159</v>
      </c>
      <c r="B2161" s="6" t="s">
        <v>2151</v>
      </c>
      <c r="C2161" s="6" t="s">
        <v>9</v>
      </c>
      <c r="D2161" s="6" t="s">
        <v>167</v>
      </c>
      <c r="E2161" s="6" t="s">
        <v>17</v>
      </c>
      <c r="F2161" s="6">
        <v>2</v>
      </c>
      <c r="G2161" s="6">
        <v>1178</v>
      </c>
    </row>
    <row r="2162" s="2" customFormat="true" ht="22.5" customHeight="true" spans="1:7">
      <c r="A2162" s="6">
        <f>2160</f>
        <v>2160</v>
      </c>
      <c r="B2162" s="6" t="s">
        <v>2152</v>
      </c>
      <c r="C2162" s="6" t="s">
        <v>9</v>
      </c>
      <c r="D2162" s="6" t="s">
        <v>136</v>
      </c>
      <c r="E2162" s="6" t="s">
        <v>17</v>
      </c>
      <c r="F2162" s="6">
        <v>1</v>
      </c>
      <c r="G2162" s="6">
        <v>690</v>
      </c>
    </row>
    <row r="2163" s="2" customFormat="true" ht="22.5" customHeight="true" spans="1:7">
      <c r="A2163" s="6">
        <f>2161</f>
        <v>2161</v>
      </c>
      <c r="B2163" s="6" t="s">
        <v>2153</v>
      </c>
      <c r="C2163" s="6" t="s">
        <v>9</v>
      </c>
      <c r="D2163" s="6" t="s">
        <v>133</v>
      </c>
      <c r="E2163" s="6" t="s">
        <v>17</v>
      </c>
      <c r="F2163" s="6">
        <v>1</v>
      </c>
      <c r="G2163" s="6">
        <v>627</v>
      </c>
    </row>
    <row r="2164" s="2" customFormat="true" ht="22.5" customHeight="true" spans="1:7">
      <c r="A2164" s="6">
        <f>2162</f>
        <v>2162</v>
      </c>
      <c r="B2164" s="6" t="s">
        <v>1220</v>
      </c>
      <c r="C2164" s="6" t="s">
        <v>15</v>
      </c>
      <c r="D2164" s="6" t="s">
        <v>129</v>
      </c>
      <c r="E2164" s="6" t="s">
        <v>17</v>
      </c>
      <c r="F2164" s="6">
        <v>2</v>
      </c>
      <c r="G2164" s="6">
        <v>1027</v>
      </c>
    </row>
    <row r="2165" s="2" customFormat="true" ht="22.5" customHeight="true" spans="1:7">
      <c r="A2165" s="6">
        <f>2163</f>
        <v>2163</v>
      </c>
      <c r="B2165" s="6" t="s">
        <v>2154</v>
      </c>
      <c r="C2165" s="6" t="s">
        <v>15</v>
      </c>
      <c r="D2165" s="6" t="s">
        <v>260</v>
      </c>
      <c r="E2165" s="6" t="s">
        <v>17</v>
      </c>
      <c r="F2165" s="6">
        <v>2</v>
      </c>
      <c r="G2165" s="6">
        <v>1178</v>
      </c>
    </row>
    <row r="2166" s="2" customFormat="true" ht="22.5" customHeight="true" spans="1:7">
      <c r="A2166" s="6">
        <f>2164</f>
        <v>2164</v>
      </c>
      <c r="B2166" s="6" t="s">
        <v>2155</v>
      </c>
      <c r="C2166" s="6" t="s">
        <v>9</v>
      </c>
      <c r="D2166" s="6" t="s">
        <v>67</v>
      </c>
      <c r="E2166" s="6" t="s">
        <v>11</v>
      </c>
      <c r="F2166" s="6">
        <v>3</v>
      </c>
      <c r="G2166" s="6">
        <v>1675</v>
      </c>
    </row>
    <row r="2167" s="2" customFormat="true" ht="22.5" customHeight="true" spans="1:7">
      <c r="A2167" s="6">
        <f>2165</f>
        <v>2165</v>
      </c>
      <c r="B2167" s="6" t="s">
        <v>2156</v>
      </c>
      <c r="C2167" s="6" t="s">
        <v>9</v>
      </c>
      <c r="D2167" s="6" t="s">
        <v>49</v>
      </c>
      <c r="E2167" s="6" t="s">
        <v>11</v>
      </c>
      <c r="F2167" s="6">
        <v>2</v>
      </c>
      <c r="G2167" s="6">
        <v>1194</v>
      </c>
    </row>
    <row r="2168" s="2" customFormat="true" ht="22.5" customHeight="true" spans="1:7">
      <c r="A2168" s="6">
        <f>2166</f>
        <v>2166</v>
      </c>
      <c r="B2168" s="6" t="s">
        <v>2011</v>
      </c>
      <c r="C2168" s="6" t="s">
        <v>9</v>
      </c>
      <c r="D2168" s="6" t="s">
        <v>49</v>
      </c>
      <c r="E2168" s="6" t="s">
        <v>17</v>
      </c>
      <c r="F2168" s="6">
        <v>1</v>
      </c>
      <c r="G2168" s="6">
        <v>706</v>
      </c>
    </row>
    <row r="2169" s="2" customFormat="true" ht="22.5" customHeight="true" spans="1:7">
      <c r="A2169" s="6">
        <f>2167</f>
        <v>2167</v>
      </c>
      <c r="B2169" s="6" t="s">
        <v>2157</v>
      </c>
      <c r="C2169" s="6" t="s">
        <v>9</v>
      </c>
      <c r="D2169" s="6" t="s">
        <v>167</v>
      </c>
      <c r="E2169" s="6" t="s">
        <v>17</v>
      </c>
      <c r="F2169" s="6">
        <v>2</v>
      </c>
      <c r="G2169" s="6">
        <v>1178</v>
      </c>
    </row>
    <row r="2170" s="2" customFormat="true" ht="22.5" customHeight="true" spans="1:7">
      <c r="A2170" s="6">
        <f>2168</f>
        <v>2168</v>
      </c>
      <c r="B2170" s="6" t="s">
        <v>2158</v>
      </c>
      <c r="C2170" s="6" t="s">
        <v>9</v>
      </c>
      <c r="D2170" s="6" t="s">
        <v>416</v>
      </c>
      <c r="E2170" s="6" t="s">
        <v>17</v>
      </c>
      <c r="F2170" s="6">
        <v>4</v>
      </c>
      <c r="G2170" s="6">
        <v>2129</v>
      </c>
    </row>
    <row r="2171" s="2" customFormat="true" ht="22.5" customHeight="true" spans="1:7">
      <c r="A2171" s="6">
        <f>2169</f>
        <v>2169</v>
      </c>
      <c r="B2171" s="6" t="s">
        <v>2159</v>
      </c>
      <c r="C2171" s="6" t="s">
        <v>15</v>
      </c>
      <c r="D2171" s="6" t="s">
        <v>13</v>
      </c>
      <c r="E2171" s="6" t="s">
        <v>17</v>
      </c>
      <c r="F2171" s="6">
        <v>1</v>
      </c>
      <c r="G2171" s="6">
        <v>706</v>
      </c>
    </row>
    <row r="2172" s="2" customFormat="true" ht="22.5" customHeight="true" spans="1:7">
      <c r="A2172" s="6">
        <f>2170</f>
        <v>2170</v>
      </c>
      <c r="B2172" s="6" t="s">
        <v>2160</v>
      </c>
      <c r="C2172" s="6" t="s">
        <v>15</v>
      </c>
      <c r="D2172" s="6" t="s">
        <v>169</v>
      </c>
      <c r="E2172" s="6" t="s">
        <v>17</v>
      </c>
      <c r="F2172" s="6">
        <v>1</v>
      </c>
      <c r="G2172" s="6">
        <v>627</v>
      </c>
    </row>
    <row r="2173" s="2" customFormat="true" ht="22.5" customHeight="true" spans="1:7">
      <c r="A2173" s="6">
        <f>2171</f>
        <v>2171</v>
      </c>
      <c r="B2173" s="6" t="s">
        <v>2161</v>
      </c>
      <c r="C2173" s="6" t="s">
        <v>9</v>
      </c>
      <c r="D2173" s="6" t="s">
        <v>49</v>
      </c>
      <c r="E2173" s="6" t="s">
        <v>17</v>
      </c>
      <c r="F2173" s="6">
        <v>1</v>
      </c>
      <c r="G2173" s="6">
        <v>706</v>
      </c>
    </row>
    <row r="2174" s="2" customFormat="true" ht="22.5" customHeight="true" spans="1:7">
      <c r="A2174" s="6">
        <f>2172</f>
        <v>2172</v>
      </c>
      <c r="B2174" s="6" t="s">
        <v>2162</v>
      </c>
      <c r="C2174" s="6" t="s">
        <v>15</v>
      </c>
      <c r="D2174" s="6" t="s">
        <v>27</v>
      </c>
      <c r="E2174" s="6" t="s">
        <v>17</v>
      </c>
      <c r="F2174" s="6">
        <v>1</v>
      </c>
      <c r="G2174" s="6">
        <v>706</v>
      </c>
    </row>
    <row r="2175" s="2" customFormat="true" ht="22.5" customHeight="true" spans="1:7">
      <c r="A2175" s="6">
        <f>2173</f>
        <v>2173</v>
      </c>
      <c r="B2175" s="6" t="s">
        <v>2163</v>
      </c>
      <c r="C2175" s="6" t="s">
        <v>15</v>
      </c>
      <c r="D2175" s="6" t="s">
        <v>27</v>
      </c>
      <c r="E2175" s="6" t="s">
        <v>17</v>
      </c>
      <c r="F2175" s="6">
        <v>1</v>
      </c>
      <c r="G2175" s="6">
        <v>706</v>
      </c>
    </row>
    <row r="2176" s="2" customFormat="true" ht="22.5" customHeight="true" spans="1:7">
      <c r="A2176" s="6">
        <f>2174</f>
        <v>2174</v>
      </c>
      <c r="B2176" s="6" t="s">
        <v>2164</v>
      </c>
      <c r="C2176" s="6" t="s">
        <v>15</v>
      </c>
      <c r="D2176" s="6" t="s">
        <v>35</v>
      </c>
      <c r="E2176" s="6" t="s">
        <v>17</v>
      </c>
      <c r="F2176" s="6">
        <v>1</v>
      </c>
      <c r="G2176" s="6">
        <v>706</v>
      </c>
    </row>
    <row r="2177" s="2" customFormat="true" ht="22.5" customHeight="true" spans="1:7">
      <c r="A2177" s="6">
        <f>2175</f>
        <v>2175</v>
      </c>
      <c r="B2177" s="6" t="s">
        <v>2165</v>
      </c>
      <c r="C2177" s="6" t="s">
        <v>15</v>
      </c>
      <c r="D2177" s="6" t="s">
        <v>16</v>
      </c>
      <c r="E2177" s="6" t="s">
        <v>11</v>
      </c>
      <c r="F2177" s="6">
        <v>2</v>
      </c>
      <c r="G2177" s="6">
        <v>1007</v>
      </c>
    </row>
    <row r="2178" s="2" customFormat="true" ht="22.5" customHeight="true" spans="1:7">
      <c r="A2178" s="6">
        <f>2176</f>
        <v>2176</v>
      </c>
      <c r="B2178" s="6" t="s">
        <v>2166</v>
      </c>
      <c r="C2178" s="6" t="s">
        <v>15</v>
      </c>
      <c r="D2178" s="6" t="s">
        <v>149</v>
      </c>
      <c r="E2178" s="6" t="s">
        <v>17</v>
      </c>
      <c r="F2178" s="6">
        <v>2</v>
      </c>
      <c r="G2178" s="6">
        <v>1027</v>
      </c>
    </row>
    <row r="2179" s="2" customFormat="true" ht="22.5" customHeight="true" spans="1:7">
      <c r="A2179" s="6">
        <f>2177</f>
        <v>2177</v>
      </c>
      <c r="B2179" s="6" t="s">
        <v>2167</v>
      </c>
      <c r="C2179" s="6" t="s">
        <v>9</v>
      </c>
      <c r="D2179" s="6" t="s">
        <v>149</v>
      </c>
      <c r="E2179" s="6" t="s">
        <v>17</v>
      </c>
      <c r="F2179" s="6">
        <v>2</v>
      </c>
      <c r="G2179" s="6">
        <v>1102</v>
      </c>
    </row>
    <row r="2180" s="2" customFormat="true" ht="22.5" customHeight="true" spans="1:7">
      <c r="A2180" s="6">
        <f>2178</f>
        <v>2178</v>
      </c>
      <c r="B2180" s="6" t="s">
        <v>2168</v>
      </c>
      <c r="C2180" s="6" t="s">
        <v>15</v>
      </c>
      <c r="D2180" s="6" t="s">
        <v>230</v>
      </c>
      <c r="E2180" s="6" t="s">
        <v>11</v>
      </c>
      <c r="F2180" s="6">
        <v>1</v>
      </c>
      <c r="G2180" s="6">
        <v>597</v>
      </c>
    </row>
    <row r="2181" s="2" customFormat="true" ht="22.5" customHeight="true" spans="1:7">
      <c r="A2181" s="6">
        <f>2179</f>
        <v>2179</v>
      </c>
      <c r="B2181" s="6" t="s">
        <v>2169</v>
      </c>
      <c r="C2181" s="6" t="s">
        <v>9</v>
      </c>
      <c r="D2181" s="6" t="s">
        <v>416</v>
      </c>
      <c r="E2181" s="6" t="s">
        <v>17</v>
      </c>
      <c r="F2181" s="6">
        <v>2</v>
      </c>
      <c r="G2181" s="6">
        <v>1178</v>
      </c>
    </row>
    <row r="2182" s="2" customFormat="true" ht="22.5" customHeight="true" spans="1:7">
      <c r="A2182" s="6">
        <f>2180</f>
        <v>2180</v>
      </c>
      <c r="B2182" s="6" t="s">
        <v>2170</v>
      </c>
      <c r="C2182" s="6" t="s">
        <v>9</v>
      </c>
      <c r="D2182" s="6" t="s">
        <v>146</v>
      </c>
      <c r="E2182" s="6" t="s">
        <v>17</v>
      </c>
      <c r="F2182" s="6">
        <v>2</v>
      </c>
      <c r="G2182" s="6">
        <v>1178</v>
      </c>
    </row>
    <row r="2183" s="2" customFormat="true" ht="22.5" customHeight="true" spans="1:7">
      <c r="A2183" s="6">
        <f>2181</f>
        <v>2181</v>
      </c>
      <c r="B2183" s="6" t="s">
        <v>2171</v>
      </c>
      <c r="C2183" s="6" t="s">
        <v>9</v>
      </c>
      <c r="D2183" s="6" t="s">
        <v>146</v>
      </c>
      <c r="E2183" s="6" t="s">
        <v>17</v>
      </c>
      <c r="F2183" s="6">
        <v>2</v>
      </c>
      <c r="G2183" s="6">
        <v>1102</v>
      </c>
    </row>
    <row r="2184" s="2" customFormat="true" ht="22.5" customHeight="true" spans="1:7">
      <c r="A2184" s="6">
        <f>2182</f>
        <v>2182</v>
      </c>
      <c r="B2184" s="6" t="s">
        <v>2172</v>
      </c>
      <c r="C2184" s="6" t="s">
        <v>9</v>
      </c>
      <c r="D2184" s="6" t="s">
        <v>270</v>
      </c>
      <c r="E2184" s="6" t="s">
        <v>17</v>
      </c>
      <c r="F2184" s="6">
        <v>2</v>
      </c>
      <c r="G2184" s="6">
        <v>1178</v>
      </c>
    </row>
    <row r="2185" s="2" customFormat="true" ht="22.5" customHeight="true" spans="1:7">
      <c r="A2185" s="6">
        <f>2183</f>
        <v>2183</v>
      </c>
      <c r="B2185" s="6" t="s">
        <v>2173</v>
      </c>
      <c r="C2185" s="6" t="s">
        <v>9</v>
      </c>
      <c r="D2185" s="6" t="s">
        <v>230</v>
      </c>
      <c r="E2185" s="6" t="s">
        <v>79</v>
      </c>
      <c r="F2185" s="6">
        <v>1</v>
      </c>
      <c r="G2185" s="6">
        <v>481</v>
      </c>
    </row>
    <row r="2186" s="2" customFormat="true" ht="22.5" customHeight="true" spans="1:7">
      <c r="A2186" s="6">
        <f>2184</f>
        <v>2184</v>
      </c>
      <c r="B2186" s="6" t="s">
        <v>2174</v>
      </c>
      <c r="C2186" s="6" t="s">
        <v>9</v>
      </c>
      <c r="D2186" s="6" t="s">
        <v>16</v>
      </c>
      <c r="E2186" s="6" t="s">
        <v>17</v>
      </c>
      <c r="F2186" s="6">
        <v>1</v>
      </c>
      <c r="G2186" s="6">
        <v>690</v>
      </c>
    </row>
    <row r="2187" s="2" customFormat="true" ht="22.5" customHeight="true" spans="1:7">
      <c r="A2187" s="6">
        <f>2185</f>
        <v>2185</v>
      </c>
      <c r="B2187" s="6" t="s">
        <v>2175</v>
      </c>
      <c r="C2187" s="6" t="s">
        <v>9</v>
      </c>
      <c r="D2187" s="6" t="s">
        <v>117</v>
      </c>
      <c r="E2187" s="6" t="s">
        <v>17</v>
      </c>
      <c r="F2187" s="6">
        <v>1</v>
      </c>
      <c r="G2187" s="6">
        <v>656</v>
      </c>
    </row>
    <row r="2188" s="2" customFormat="true" ht="22.5" customHeight="true" spans="1:7">
      <c r="A2188" s="6">
        <f>2186</f>
        <v>2186</v>
      </c>
      <c r="B2188" s="6" t="s">
        <v>2176</v>
      </c>
      <c r="C2188" s="6" t="s">
        <v>9</v>
      </c>
      <c r="D2188" s="6" t="s">
        <v>124</v>
      </c>
      <c r="E2188" s="6" t="s">
        <v>17</v>
      </c>
      <c r="F2188" s="6">
        <v>1</v>
      </c>
      <c r="G2188" s="6">
        <v>627</v>
      </c>
    </row>
    <row r="2189" s="2" customFormat="true" ht="22.5" customHeight="true" spans="1:7">
      <c r="A2189" s="6">
        <f>2187</f>
        <v>2187</v>
      </c>
      <c r="B2189" s="6" t="s">
        <v>2177</v>
      </c>
      <c r="C2189" s="6" t="s">
        <v>9</v>
      </c>
      <c r="D2189" s="6" t="s">
        <v>133</v>
      </c>
      <c r="E2189" s="6" t="s">
        <v>17</v>
      </c>
      <c r="F2189" s="6">
        <v>1</v>
      </c>
      <c r="G2189" s="6">
        <v>727</v>
      </c>
    </row>
    <row r="2190" s="2" customFormat="true" ht="22.5" customHeight="true" spans="1:7">
      <c r="A2190" s="6">
        <f>2188</f>
        <v>2188</v>
      </c>
      <c r="B2190" s="6" t="s">
        <v>2178</v>
      </c>
      <c r="C2190" s="6" t="s">
        <v>15</v>
      </c>
      <c r="D2190" s="6" t="s">
        <v>180</v>
      </c>
      <c r="E2190" s="6" t="s">
        <v>17</v>
      </c>
      <c r="F2190" s="6">
        <v>4</v>
      </c>
      <c r="G2190" s="6">
        <v>1978</v>
      </c>
    </row>
    <row r="2191" s="2" customFormat="true" ht="22.5" customHeight="true" spans="1:7">
      <c r="A2191" s="6">
        <f>2189</f>
        <v>2189</v>
      </c>
      <c r="B2191" s="6" t="s">
        <v>2179</v>
      </c>
      <c r="C2191" s="6" t="s">
        <v>9</v>
      </c>
      <c r="D2191" s="6" t="s">
        <v>10</v>
      </c>
      <c r="E2191" s="6" t="s">
        <v>17</v>
      </c>
      <c r="F2191" s="6">
        <v>3</v>
      </c>
      <c r="G2191" s="6">
        <v>1668</v>
      </c>
    </row>
    <row r="2192" s="2" customFormat="true" ht="22.5" customHeight="true" spans="1:7">
      <c r="A2192" s="6">
        <f>2190</f>
        <v>2190</v>
      </c>
      <c r="B2192" s="6" t="s">
        <v>1432</v>
      </c>
      <c r="C2192" s="6" t="s">
        <v>9</v>
      </c>
      <c r="D2192" s="6" t="s">
        <v>180</v>
      </c>
      <c r="E2192" s="6" t="s">
        <v>17</v>
      </c>
      <c r="F2192" s="6">
        <v>5</v>
      </c>
      <c r="G2192" s="6">
        <v>2680</v>
      </c>
    </row>
    <row r="2193" s="2" customFormat="true" ht="22.5" customHeight="true" spans="1:7">
      <c r="A2193" s="6">
        <f>2191</f>
        <v>2191</v>
      </c>
      <c r="B2193" s="6" t="s">
        <v>2180</v>
      </c>
      <c r="C2193" s="6" t="s">
        <v>9</v>
      </c>
      <c r="D2193" s="6" t="s">
        <v>138</v>
      </c>
      <c r="E2193" s="6" t="s">
        <v>17</v>
      </c>
      <c r="F2193" s="6">
        <v>3</v>
      </c>
      <c r="G2193" s="6">
        <v>1784</v>
      </c>
    </row>
    <row r="2194" s="2" customFormat="true" ht="22.5" customHeight="true" spans="1:7">
      <c r="A2194" s="6">
        <f>2192</f>
        <v>2192</v>
      </c>
      <c r="B2194" s="6" t="s">
        <v>2181</v>
      </c>
      <c r="C2194" s="6" t="s">
        <v>9</v>
      </c>
      <c r="D2194" s="6" t="s">
        <v>239</v>
      </c>
      <c r="E2194" s="6" t="s">
        <v>17</v>
      </c>
      <c r="F2194" s="6">
        <v>3</v>
      </c>
      <c r="G2194" s="6">
        <v>1578</v>
      </c>
    </row>
    <row r="2195" s="2" customFormat="true" ht="22.5" customHeight="true" spans="1:7">
      <c r="A2195" s="6">
        <f>2193</f>
        <v>2193</v>
      </c>
      <c r="B2195" s="6" t="s">
        <v>2182</v>
      </c>
      <c r="C2195" s="6" t="s">
        <v>9</v>
      </c>
      <c r="D2195" s="6" t="s">
        <v>27</v>
      </c>
      <c r="E2195" s="6" t="s">
        <v>79</v>
      </c>
      <c r="F2195" s="6">
        <v>1</v>
      </c>
      <c r="G2195" s="6">
        <v>481</v>
      </c>
    </row>
    <row r="2196" s="2" customFormat="true" ht="22.5" customHeight="true" spans="1:7">
      <c r="A2196" s="6">
        <f>2194</f>
        <v>2194</v>
      </c>
      <c r="B2196" s="6" t="s">
        <v>2183</v>
      </c>
      <c r="C2196" s="6" t="s">
        <v>9</v>
      </c>
      <c r="D2196" s="6" t="s">
        <v>270</v>
      </c>
      <c r="E2196" s="6" t="s">
        <v>17</v>
      </c>
      <c r="F2196" s="6">
        <v>1</v>
      </c>
      <c r="G2196" s="6">
        <v>627</v>
      </c>
    </row>
    <row r="2197" s="2" customFormat="true" ht="22.5" customHeight="true" spans="1:7">
      <c r="A2197" s="6">
        <f>2195</f>
        <v>2195</v>
      </c>
      <c r="B2197" s="6" t="s">
        <v>2184</v>
      </c>
      <c r="C2197" s="6" t="s">
        <v>15</v>
      </c>
      <c r="D2197" s="6" t="s">
        <v>122</v>
      </c>
      <c r="E2197" s="6" t="s">
        <v>17</v>
      </c>
      <c r="F2197" s="6">
        <v>1</v>
      </c>
      <c r="G2197" s="6">
        <v>551</v>
      </c>
    </row>
    <row r="2198" s="2" customFormat="true" ht="22.5" customHeight="true" spans="1:7">
      <c r="A2198" s="6">
        <f>2196</f>
        <v>2196</v>
      </c>
      <c r="B2198" s="6" t="s">
        <v>2185</v>
      </c>
      <c r="C2198" s="6" t="s">
        <v>9</v>
      </c>
      <c r="D2198" s="6" t="s">
        <v>270</v>
      </c>
      <c r="E2198" s="6" t="s">
        <v>17</v>
      </c>
      <c r="F2198" s="6">
        <v>2</v>
      </c>
      <c r="G2198" s="6">
        <v>1178</v>
      </c>
    </row>
    <row r="2199" s="2" customFormat="true" ht="22.5" customHeight="true" spans="1:7">
      <c r="A2199" s="6">
        <f>2197</f>
        <v>2197</v>
      </c>
      <c r="B2199" s="6" t="s">
        <v>2186</v>
      </c>
      <c r="C2199" s="6" t="s">
        <v>9</v>
      </c>
      <c r="D2199" s="6" t="s">
        <v>136</v>
      </c>
      <c r="E2199" s="6" t="s">
        <v>17</v>
      </c>
      <c r="F2199" s="6">
        <v>1</v>
      </c>
      <c r="G2199" s="6">
        <v>690</v>
      </c>
    </row>
    <row r="2200" s="2" customFormat="true" ht="22.5" customHeight="true" spans="1:7">
      <c r="A2200" s="6">
        <f>2198</f>
        <v>2198</v>
      </c>
      <c r="B2200" s="6" t="s">
        <v>2187</v>
      </c>
      <c r="C2200" s="6" t="s">
        <v>15</v>
      </c>
      <c r="D2200" s="6" t="s">
        <v>169</v>
      </c>
      <c r="E2200" s="6" t="s">
        <v>17</v>
      </c>
      <c r="F2200" s="6">
        <v>1</v>
      </c>
      <c r="G2200" s="6">
        <v>551</v>
      </c>
    </row>
    <row r="2201" s="2" customFormat="true" ht="22.5" customHeight="true" spans="1:7">
      <c r="A2201" s="6">
        <f>2199</f>
        <v>2199</v>
      </c>
      <c r="B2201" s="6" t="s">
        <v>2188</v>
      </c>
      <c r="C2201" s="6" t="s">
        <v>15</v>
      </c>
      <c r="D2201" s="6" t="s">
        <v>67</v>
      </c>
      <c r="E2201" s="6" t="s">
        <v>17</v>
      </c>
      <c r="F2201" s="6">
        <v>1</v>
      </c>
      <c r="G2201" s="6">
        <v>656</v>
      </c>
    </row>
    <row r="2202" s="2" customFormat="true" ht="22.5" customHeight="true" spans="1:7">
      <c r="A2202" s="6">
        <f>2200</f>
        <v>2200</v>
      </c>
      <c r="B2202" s="6" t="s">
        <v>2189</v>
      </c>
      <c r="C2202" s="6" t="s">
        <v>9</v>
      </c>
      <c r="D2202" s="6" t="s">
        <v>230</v>
      </c>
      <c r="E2202" s="6" t="s">
        <v>11</v>
      </c>
      <c r="F2202" s="6">
        <v>2</v>
      </c>
      <c r="G2202" s="6">
        <v>1194</v>
      </c>
    </row>
    <row r="2203" s="2" customFormat="true" ht="22.5" customHeight="true" spans="1:7">
      <c r="A2203" s="6">
        <f>2201</f>
        <v>2201</v>
      </c>
      <c r="B2203" s="6" t="s">
        <v>2190</v>
      </c>
      <c r="C2203" s="6" t="s">
        <v>9</v>
      </c>
      <c r="D2203" s="6" t="s">
        <v>67</v>
      </c>
      <c r="E2203" s="6" t="s">
        <v>17</v>
      </c>
      <c r="F2203" s="6">
        <v>3</v>
      </c>
      <c r="G2203" s="6">
        <v>1734</v>
      </c>
    </row>
    <row r="2204" s="2" customFormat="true" ht="22.5" customHeight="true" spans="1:7">
      <c r="A2204" s="6">
        <f>2202</f>
        <v>2202</v>
      </c>
      <c r="B2204" s="6" t="s">
        <v>2191</v>
      </c>
      <c r="C2204" s="6" t="s">
        <v>9</v>
      </c>
      <c r="D2204" s="6" t="s">
        <v>136</v>
      </c>
      <c r="E2204" s="6" t="s">
        <v>17</v>
      </c>
      <c r="F2204" s="6">
        <v>3</v>
      </c>
      <c r="G2204" s="6">
        <v>1878</v>
      </c>
    </row>
    <row r="2205" s="2" customFormat="true" ht="22.5" customHeight="true" spans="1:7">
      <c r="A2205" s="6">
        <f>2203</f>
        <v>2203</v>
      </c>
      <c r="B2205" s="6" t="s">
        <v>2192</v>
      </c>
      <c r="C2205" s="6" t="s">
        <v>9</v>
      </c>
      <c r="D2205" s="6" t="s">
        <v>49</v>
      </c>
      <c r="E2205" s="6" t="s">
        <v>17</v>
      </c>
      <c r="F2205" s="6">
        <v>3</v>
      </c>
      <c r="G2205" s="6">
        <v>1784</v>
      </c>
    </row>
    <row r="2206" s="2" customFormat="true" ht="22.5" customHeight="true" spans="1:7">
      <c r="A2206" s="6">
        <f>2204</f>
        <v>2204</v>
      </c>
      <c r="B2206" s="6" t="s">
        <v>2193</v>
      </c>
      <c r="C2206" s="6" t="s">
        <v>9</v>
      </c>
      <c r="D2206" s="6" t="s">
        <v>239</v>
      </c>
      <c r="E2206" s="6" t="s">
        <v>17</v>
      </c>
      <c r="F2206" s="6">
        <v>3</v>
      </c>
      <c r="G2206" s="6">
        <v>1502</v>
      </c>
    </row>
    <row r="2207" s="2" customFormat="true" ht="22.5" customHeight="true" spans="1:7">
      <c r="A2207" s="6">
        <f>2205</f>
        <v>2205</v>
      </c>
      <c r="B2207" s="6" t="s">
        <v>2194</v>
      </c>
      <c r="C2207" s="6" t="s">
        <v>9</v>
      </c>
      <c r="D2207" s="6" t="s">
        <v>49</v>
      </c>
      <c r="E2207" s="6" t="s">
        <v>17</v>
      </c>
      <c r="F2207" s="6">
        <v>1</v>
      </c>
      <c r="G2207" s="6">
        <v>706</v>
      </c>
    </row>
    <row r="2208" s="2" customFormat="true" ht="22.5" customHeight="true" spans="1:7">
      <c r="A2208" s="6">
        <f>2206</f>
        <v>2206</v>
      </c>
      <c r="B2208" s="6" t="s">
        <v>2195</v>
      </c>
      <c r="C2208" s="6" t="s">
        <v>15</v>
      </c>
      <c r="D2208" s="6" t="s">
        <v>192</v>
      </c>
      <c r="E2208" s="6" t="s">
        <v>79</v>
      </c>
      <c r="F2208" s="6">
        <v>3</v>
      </c>
      <c r="G2208" s="6">
        <v>1601</v>
      </c>
    </row>
    <row r="2209" s="2" customFormat="true" ht="22.5" customHeight="true" spans="1:7">
      <c r="A2209" s="6">
        <f>2207</f>
        <v>2207</v>
      </c>
      <c r="B2209" s="6" t="s">
        <v>2196</v>
      </c>
      <c r="C2209" s="6" t="s">
        <v>15</v>
      </c>
      <c r="D2209" s="6" t="s">
        <v>35</v>
      </c>
      <c r="E2209" s="6" t="s">
        <v>11</v>
      </c>
      <c r="F2209" s="6">
        <v>1</v>
      </c>
      <c r="G2209" s="6">
        <v>597</v>
      </c>
    </row>
    <row r="2210" s="2" customFormat="true" ht="22.5" customHeight="true" spans="1:7">
      <c r="A2210" s="6">
        <f>2208</f>
        <v>2208</v>
      </c>
      <c r="B2210" s="6" t="s">
        <v>2197</v>
      </c>
      <c r="C2210" s="6" t="s">
        <v>9</v>
      </c>
      <c r="D2210" s="6" t="s">
        <v>10</v>
      </c>
      <c r="E2210" s="6" t="s">
        <v>11</v>
      </c>
      <c r="F2210" s="6">
        <v>1</v>
      </c>
      <c r="G2210" s="6">
        <v>580</v>
      </c>
    </row>
    <row r="2211" s="2" customFormat="true" ht="22.5" customHeight="true" spans="1:7">
      <c r="A2211" s="6">
        <f>2209</f>
        <v>2209</v>
      </c>
      <c r="B2211" s="6" t="s">
        <v>2198</v>
      </c>
      <c r="C2211" s="6" t="s">
        <v>15</v>
      </c>
      <c r="D2211" s="6" t="s">
        <v>35</v>
      </c>
      <c r="E2211" s="6" t="s">
        <v>17</v>
      </c>
      <c r="F2211" s="6">
        <v>2</v>
      </c>
      <c r="G2211" s="6">
        <v>1303</v>
      </c>
    </row>
    <row r="2212" s="2" customFormat="true" ht="22.5" customHeight="true" spans="1:7">
      <c r="A2212" s="6">
        <f>2210</f>
        <v>2210</v>
      </c>
      <c r="B2212" s="6" t="s">
        <v>2199</v>
      </c>
      <c r="C2212" s="6" t="s">
        <v>9</v>
      </c>
      <c r="D2212" s="6" t="s">
        <v>35</v>
      </c>
      <c r="E2212" s="6" t="s">
        <v>17</v>
      </c>
      <c r="F2212" s="6">
        <v>2</v>
      </c>
      <c r="G2212" s="6">
        <v>1256</v>
      </c>
    </row>
    <row r="2213" s="2" customFormat="true" ht="22.5" customHeight="true" spans="1:7">
      <c r="A2213" s="6">
        <f>2211</f>
        <v>2211</v>
      </c>
      <c r="B2213" s="6" t="s">
        <v>207</v>
      </c>
      <c r="C2213" s="6" t="s">
        <v>15</v>
      </c>
      <c r="D2213" s="6" t="s">
        <v>27</v>
      </c>
      <c r="E2213" s="6" t="s">
        <v>11</v>
      </c>
      <c r="F2213" s="6">
        <v>1</v>
      </c>
      <c r="G2213" s="6">
        <v>597</v>
      </c>
    </row>
    <row r="2214" s="2" customFormat="true" ht="22.5" customHeight="true" spans="1:7">
      <c r="A2214" s="6">
        <f>2212</f>
        <v>2212</v>
      </c>
      <c r="B2214" s="6" t="s">
        <v>2200</v>
      </c>
      <c r="C2214" s="6" t="s">
        <v>9</v>
      </c>
      <c r="D2214" s="6" t="s">
        <v>10</v>
      </c>
      <c r="E2214" s="6" t="s">
        <v>17</v>
      </c>
      <c r="F2214" s="6">
        <v>2</v>
      </c>
      <c r="G2214" s="6">
        <v>1137</v>
      </c>
    </row>
    <row r="2215" s="2" customFormat="true" ht="22.5" customHeight="true" spans="1:7">
      <c r="A2215" s="6">
        <f>2213</f>
        <v>2213</v>
      </c>
      <c r="B2215" s="6" t="s">
        <v>810</v>
      </c>
      <c r="C2215" s="6" t="s">
        <v>9</v>
      </c>
      <c r="D2215" s="6" t="s">
        <v>19</v>
      </c>
      <c r="E2215" s="6" t="s">
        <v>17</v>
      </c>
      <c r="F2215" s="6">
        <v>1</v>
      </c>
      <c r="G2215" s="6">
        <v>656</v>
      </c>
    </row>
    <row r="2216" s="2" customFormat="true" ht="22.5" customHeight="true" spans="1:7">
      <c r="A2216" s="6">
        <f>2214</f>
        <v>2214</v>
      </c>
      <c r="B2216" s="6" t="s">
        <v>2201</v>
      </c>
      <c r="C2216" s="6" t="s">
        <v>9</v>
      </c>
      <c r="D2216" s="6" t="s">
        <v>192</v>
      </c>
      <c r="E2216" s="6" t="s">
        <v>79</v>
      </c>
      <c r="F2216" s="6">
        <v>2</v>
      </c>
      <c r="G2216" s="6">
        <v>826</v>
      </c>
    </row>
    <row r="2217" s="2" customFormat="true" ht="22.5" customHeight="true" spans="1:7">
      <c r="A2217" s="6">
        <f>2215</f>
        <v>2215</v>
      </c>
      <c r="B2217" s="6" t="s">
        <v>2202</v>
      </c>
      <c r="C2217" s="6" t="s">
        <v>9</v>
      </c>
      <c r="D2217" s="6" t="s">
        <v>13</v>
      </c>
      <c r="E2217" s="6" t="s">
        <v>79</v>
      </c>
      <c r="F2217" s="6">
        <v>1</v>
      </c>
      <c r="G2217" s="6">
        <v>481</v>
      </c>
    </row>
    <row r="2218" s="2" customFormat="true" ht="22.5" customHeight="true" spans="1:7">
      <c r="A2218" s="6">
        <f>2216</f>
        <v>2216</v>
      </c>
      <c r="B2218" s="6" t="s">
        <v>2203</v>
      </c>
      <c r="C2218" s="6" t="s">
        <v>15</v>
      </c>
      <c r="D2218" s="6" t="s">
        <v>35</v>
      </c>
      <c r="E2218" s="6" t="s">
        <v>17</v>
      </c>
      <c r="F2218" s="6">
        <v>1</v>
      </c>
      <c r="G2218" s="6">
        <v>656</v>
      </c>
    </row>
    <row r="2219" s="2" customFormat="true" ht="22.5" customHeight="true" spans="1:7">
      <c r="A2219" s="6">
        <f>2217</f>
        <v>2217</v>
      </c>
      <c r="B2219" s="6" t="s">
        <v>2204</v>
      </c>
      <c r="C2219" s="6" t="s">
        <v>15</v>
      </c>
      <c r="D2219" s="6" t="s">
        <v>182</v>
      </c>
      <c r="E2219" s="6" t="s">
        <v>17</v>
      </c>
      <c r="F2219" s="6">
        <v>1</v>
      </c>
      <c r="G2219" s="6">
        <v>690</v>
      </c>
    </row>
    <row r="2220" s="2" customFormat="true" ht="22.5" customHeight="true" spans="1:7">
      <c r="A2220" s="6">
        <f>2218</f>
        <v>2218</v>
      </c>
      <c r="B2220" s="6" t="s">
        <v>2205</v>
      </c>
      <c r="C2220" s="6" t="s">
        <v>9</v>
      </c>
      <c r="D2220" s="6" t="s">
        <v>161</v>
      </c>
      <c r="E2220" s="6" t="s">
        <v>17</v>
      </c>
      <c r="F2220" s="6">
        <v>5</v>
      </c>
      <c r="G2220" s="6">
        <v>2529</v>
      </c>
    </row>
    <row r="2221" s="2" customFormat="true" ht="22.5" customHeight="true" spans="1:7">
      <c r="A2221" s="6">
        <f>2219</f>
        <v>2219</v>
      </c>
      <c r="B2221" s="6" t="s">
        <v>2206</v>
      </c>
      <c r="C2221" s="6" t="s">
        <v>9</v>
      </c>
      <c r="D2221" s="6" t="s">
        <v>27</v>
      </c>
      <c r="E2221" s="6" t="s">
        <v>17</v>
      </c>
      <c r="F2221" s="6">
        <v>1</v>
      </c>
      <c r="G2221" s="6">
        <v>706</v>
      </c>
    </row>
    <row r="2222" s="2" customFormat="true" ht="22.5" customHeight="true" spans="1:7">
      <c r="A2222" s="6">
        <f>2220</f>
        <v>2220</v>
      </c>
      <c r="B2222" s="6" t="s">
        <v>2207</v>
      </c>
      <c r="C2222" s="6" t="s">
        <v>9</v>
      </c>
      <c r="D2222" s="6" t="s">
        <v>10</v>
      </c>
      <c r="E2222" s="6" t="s">
        <v>17</v>
      </c>
      <c r="F2222" s="6">
        <v>4</v>
      </c>
      <c r="G2222" s="6">
        <v>2331</v>
      </c>
    </row>
    <row r="2223" s="2" customFormat="true" ht="22.5" customHeight="true" spans="1:7">
      <c r="A2223" s="6">
        <f>2221</f>
        <v>2221</v>
      </c>
      <c r="B2223" s="6" t="s">
        <v>930</v>
      </c>
      <c r="C2223" s="6" t="s">
        <v>9</v>
      </c>
      <c r="D2223" s="6" t="s">
        <v>19</v>
      </c>
      <c r="E2223" s="6" t="s">
        <v>17</v>
      </c>
      <c r="F2223" s="6">
        <v>4</v>
      </c>
      <c r="G2223" s="6">
        <v>2181</v>
      </c>
    </row>
    <row r="2224" s="2" customFormat="true" ht="22.5" customHeight="true" spans="1:7">
      <c r="A2224" s="6">
        <f>2222</f>
        <v>2222</v>
      </c>
      <c r="B2224" s="6" t="s">
        <v>2208</v>
      </c>
      <c r="C2224" s="6" t="s">
        <v>15</v>
      </c>
      <c r="D2224" s="6" t="s">
        <v>131</v>
      </c>
      <c r="E2224" s="6" t="s">
        <v>17</v>
      </c>
      <c r="F2224" s="6">
        <v>1</v>
      </c>
      <c r="G2224" s="6">
        <v>627</v>
      </c>
    </row>
    <row r="2225" s="2" customFormat="true" ht="22.5" customHeight="true" spans="1:7">
      <c r="A2225" s="6">
        <f>2223</f>
        <v>2223</v>
      </c>
      <c r="B2225" s="6" t="s">
        <v>2209</v>
      </c>
      <c r="C2225" s="6" t="s">
        <v>9</v>
      </c>
      <c r="D2225" s="6" t="s">
        <v>182</v>
      </c>
      <c r="E2225" s="6" t="s">
        <v>17</v>
      </c>
      <c r="F2225" s="6">
        <v>1</v>
      </c>
      <c r="G2225" s="6">
        <v>690</v>
      </c>
    </row>
    <row r="2226" s="2" customFormat="true" ht="22.5" customHeight="true" spans="1:7">
      <c r="A2226" s="6">
        <f>2224</f>
        <v>2224</v>
      </c>
      <c r="B2226" s="6" t="s">
        <v>2210</v>
      </c>
      <c r="C2226" s="6" t="s">
        <v>9</v>
      </c>
      <c r="D2226" s="6" t="s">
        <v>133</v>
      </c>
      <c r="E2226" s="6" t="s">
        <v>17</v>
      </c>
      <c r="F2226" s="6">
        <v>3</v>
      </c>
      <c r="G2226" s="6">
        <v>1578</v>
      </c>
    </row>
    <row r="2227" s="2" customFormat="true" ht="22.5" customHeight="true" spans="1:7">
      <c r="A2227" s="6">
        <f>2225</f>
        <v>2225</v>
      </c>
      <c r="B2227" s="6" t="s">
        <v>2211</v>
      </c>
      <c r="C2227" s="6" t="s">
        <v>9</v>
      </c>
      <c r="D2227" s="6" t="s">
        <v>188</v>
      </c>
      <c r="E2227" s="6" t="s">
        <v>17</v>
      </c>
      <c r="F2227" s="6">
        <v>4</v>
      </c>
      <c r="G2227" s="6">
        <v>2129</v>
      </c>
    </row>
    <row r="2228" s="2" customFormat="true" ht="22.5" customHeight="true" spans="1:7">
      <c r="A2228" s="6">
        <f>2226</f>
        <v>2226</v>
      </c>
      <c r="B2228" s="6" t="s">
        <v>1188</v>
      </c>
      <c r="C2228" s="6" t="s">
        <v>9</v>
      </c>
      <c r="D2228" s="6" t="s">
        <v>167</v>
      </c>
      <c r="E2228" s="6" t="s">
        <v>17</v>
      </c>
      <c r="F2228" s="6">
        <v>4</v>
      </c>
      <c r="G2228" s="6">
        <v>1778</v>
      </c>
    </row>
    <row r="2229" s="2" customFormat="true" ht="22.5" customHeight="true" spans="1:7">
      <c r="A2229" s="6">
        <f>2227</f>
        <v>2227</v>
      </c>
      <c r="B2229" s="6" t="s">
        <v>2212</v>
      </c>
      <c r="C2229" s="6" t="s">
        <v>15</v>
      </c>
      <c r="D2229" s="6" t="s">
        <v>133</v>
      </c>
      <c r="E2229" s="6" t="s">
        <v>11</v>
      </c>
      <c r="F2229" s="6">
        <v>1</v>
      </c>
      <c r="G2229" s="6">
        <v>551</v>
      </c>
    </row>
    <row r="2230" s="2" customFormat="true" ht="22.5" customHeight="true" spans="1:7">
      <c r="A2230" s="6">
        <f>2228</f>
        <v>2228</v>
      </c>
      <c r="B2230" s="6" t="s">
        <v>2213</v>
      </c>
      <c r="C2230" s="6" t="s">
        <v>15</v>
      </c>
      <c r="D2230" s="6" t="s">
        <v>230</v>
      </c>
      <c r="E2230" s="6" t="s">
        <v>17</v>
      </c>
      <c r="F2230" s="6">
        <v>4</v>
      </c>
      <c r="G2230" s="6">
        <v>2381</v>
      </c>
    </row>
    <row r="2231" s="2" customFormat="true" ht="22.5" customHeight="true" spans="1:7">
      <c r="A2231" s="6">
        <f>2229</f>
        <v>2229</v>
      </c>
      <c r="B2231" s="6" t="s">
        <v>2214</v>
      </c>
      <c r="C2231" s="6" t="s">
        <v>9</v>
      </c>
      <c r="D2231" s="6" t="s">
        <v>129</v>
      </c>
      <c r="E2231" s="6" t="s">
        <v>17</v>
      </c>
      <c r="F2231" s="6">
        <v>3</v>
      </c>
      <c r="G2231" s="6">
        <v>1578</v>
      </c>
    </row>
    <row r="2232" s="2" customFormat="true" ht="22.5" customHeight="true" spans="1:7">
      <c r="A2232" s="6">
        <f>2230</f>
        <v>2230</v>
      </c>
      <c r="B2232" s="6" t="s">
        <v>2215</v>
      </c>
      <c r="C2232" s="6" t="s">
        <v>15</v>
      </c>
      <c r="D2232" s="6" t="s">
        <v>169</v>
      </c>
      <c r="E2232" s="6" t="s">
        <v>17</v>
      </c>
      <c r="F2232" s="6">
        <v>2</v>
      </c>
      <c r="G2232" s="6">
        <v>1102</v>
      </c>
    </row>
    <row r="2233" s="2" customFormat="true" ht="22.5" customHeight="true" spans="1:7">
      <c r="A2233" s="6">
        <f>2231</f>
        <v>2231</v>
      </c>
      <c r="B2233" s="6" t="s">
        <v>2216</v>
      </c>
      <c r="C2233" s="6" t="s">
        <v>9</v>
      </c>
      <c r="D2233" s="6" t="s">
        <v>104</v>
      </c>
      <c r="E2233" s="6" t="s">
        <v>17</v>
      </c>
      <c r="F2233" s="6">
        <v>3</v>
      </c>
      <c r="G2233" s="6">
        <v>1727</v>
      </c>
    </row>
    <row r="2234" s="2" customFormat="true" ht="22.5" customHeight="true" spans="1:7">
      <c r="A2234" s="6">
        <f>2232</f>
        <v>2232</v>
      </c>
      <c r="B2234" s="6" t="s">
        <v>2217</v>
      </c>
      <c r="C2234" s="6" t="s">
        <v>9</v>
      </c>
      <c r="D2234" s="6" t="s">
        <v>416</v>
      </c>
      <c r="E2234" s="6" t="s">
        <v>17</v>
      </c>
      <c r="F2234" s="6">
        <v>3</v>
      </c>
      <c r="G2234" s="6">
        <v>1427</v>
      </c>
    </row>
    <row r="2235" s="2" customFormat="true" ht="22.5" customHeight="true" spans="1:7">
      <c r="A2235" s="6">
        <f>2233</f>
        <v>2233</v>
      </c>
      <c r="B2235" s="6" t="s">
        <v>2218</v>
      </c>
      <c r="C2235" s="6" t="s">
        <v>9</v>
      </c>
      <c r="D2235" s="6" t="s">
        <v>167</v>
      </c>
      <c r="E2235" s="6" t="s">
        <v>17</v>
      </c>
      <c r="F2235" s="6">
        <v>3</v>
      </c>
      <c r="G2235" s="6">
        <v>1578</v>
      </c>
    </row>
    <row r="2236" s="2" customFormat="true" ht="22.5" customHeight="true" spans="1:7">
      <c r="A2236" s="6">
        <f>2234</f>
        <v>2234</v>
      </c>
      <c r="B2236" s="6" t="s">
        <v>2219</v>
      </c>
      <c r="C2236" s="6" t="s">
        <v>9</v>
      </c>
      <c r="D2236" s="6" t="s">
        <v>67</v>
      </c>
      <c r="E2236" s="6" t="s">
        <v>17</v>
      </c>
      <c r="F2236" s="6">
        <v>1</v>
      </c>
      <c r="G2236" s="6">
        <v>706</v>
      </c>
    </row>
    <row r="2237" s="2" customFormat="true" ht="22.5" customHeight="true" spans="1:7">
      <c r="A2237" s="6">
        <f>2235</f>
        <v>2235</v>
      </c>
      <c r="B2237" s="6" t="s">
        <v>2220</v>
      </c>
      <c r="C2237" s="6" t="s">
        <v>9</v>
      </c>
      <c r="D2237" s="6" t="s">
        <v>239</v>
      </c>
      <c r="E2237" s="6" t="s">
        <v>17</v>
      </c>
      <c r="F2237" s="6">
        <v>1</v>
      </c>
      <c r="G2237" s="6">
        <v>627</v>
      </c>
    </row>
    <row r="2238" s="2" customFormat="true" ht="22.5" customHeight="true" spans="1:7">
      <c r="A2238" s="6">
        <f>2236</f>
        <v>2236</v>
      </c>
      <c r="B2238" s="6" t="s">
        <v>2221</v>
      </c>
      <c r="C2238" s="6" t="s">
        <v>9</v>
      </c>
      <c r="D2238" s="6" t="s">
        <v>169</v>
      </c>
      <c r="E2238" s="6" t="s">
        <v>17</v>
      </c>
      <c r="F2238" s="6">
        <v>2</v>
      </c>
      <c r="G2238" s="6">
        <v>1178</v>
      </c>
    </row>
    <row r="2239" s="2" customFormat="true" ht="22.5" customHeight="true" spans="1:7">
      <c r="A2239" s="6">
        <f>2237</f>
        <v>2237</v>
      </c>
      <c r="B2239" s="6" t="s">
        <v>2222</v>
      </c>
      <c r="C2239" s="6" t="s">
        <v>15</v>
      </c>
      <c r="D2239" s="6" t="s">
        <v>16</v>
      </c>
      <c r="E2239" s="6" t="s">
        <v>17</v>
      </c>
      <c r="F2239" s="6">
        <v>1</v>
      </c>
      <c r="G2239" s="6">
        <v>690</v>
      </c>
    </row>
    <row r="2240" s="2" customFormat="true" ht="22.5" customHeight="true" spans="1:7">
      <c r="A2240" s="6">
        <f>2238</f>
        <v>2238</v>
      </c>
      <c r="B2240" s="6" t="s">
        <v>2223</v>
      </c>
      <c r="C2240" s="6" t="s">
        <v>9</v>
      </c>
      <c r="D2240" s="6" t="s">
        <v>167</v>
      </c>
      <c r="E2240" s="6" t="s">
        <v>17</v>
      </c>
      <c r="F2240" s="6">
        <v>4</v>
      </c>
      <c r="G2240" s="6">
        <v>2205</v>
      </c>
    </row>
    <row r="2241" s="2" customFormat="true" ht="22.5" customHeight="true" spans="1:7">
      <c r="A2241" s="6">
        <f>2239</f>
        <v>2239</v>
      </c>
      <c r="B2241" s="6" t="s">
        <v>2224</v>
      </c>
      <c r="C2241" s="6" t="s">
        <v>9</v>
      </c>
      <c r="D2241" s="6" t="s">
        <v>129</v>
      </c>
      <c r="E2241" s="6" t="s">
        <v>17</v>
      </c>
      <c r="F2241" s="6">
        <v>2</v>
      </c>
      <c r="G2241" s="6">
        <v>1178</v>
      </c>
    </row>
    <row r="2242" s="2" customFormat="true" ht="22.5" customHeight="true" spans="1:7">
      <c r="A2242" s="6">
        <f>2240</f>
        <v>2240</v>
      </c>
      <c r="B2242" s="6" t="s">
        <v>2225</v>
      </c>
      <c r="C2242" s="6" t="s">
        <v>9</v>
      </c>
      <c r="D2242" s="6" t="s">
        <v>133</v>
      </c>
      <c r="E2242" s="6" t="s">
        <v>11</v>
      </c>
      <c r="F2242" s="6">
        <v>2</v>
      </c>
      <c r="G2242" s="6">
        <v>1102</v>
      </c>
    </row>
    <row r="2243" s="2" customFormat="true" ht="22.5" customHeight="true" spans="1:7">
      <c r="A2243" s="6">
        <f>2241</f>
        <v>2241</v>
      </c>
      <c r="B2243" s="6" t="s">
        <v>2226</v>
      </c>
      <c r="C2243" s="6" t="s">
        <v>15</v>
      </c>
      <c r="D2243" s="6" t="s">
        <v>159</v>
      </c>
      <c r="E2243" s="6" t="s">
        <v>17</v>
      </c>
      <c r="F2243" s="6">
        <v>3</v>
      </c>
      <c r="G2243" s="6">
        <v>1352</v>
      </c>
    </row>
    <row r="2244" s="2" customFormat="true" ht="22.5" customHeight="true" spans="1:7">
      <c r="A2244" s="6">
        <f>2242</f>
        <v>2242</v>
      </c>
      <c r="B2244" s="6" t="s">
        <v>2227</v>
      </c>
      <c r="C2244" s="6" t="s">
        <v>15</v>
      </c>
      <c r="D2244" s="6" t="s">
        <v>185</v>
      </c>
      <c r="E2244" s="6" t="s">
        <v>11</v>
      </c>
      <c r="F2244" s="6">
        <v>1</v>
      </c>
      <c r="G2244" s="6">
        <v>594</v>
      </c>
    </row>
    <row r="2245" s="2" customFormat="true" ht="22.5" customHeight="true" spans="1:7">
      <c r="A2245" s="6">
        <f>2243</f>
        <v>2243</v>
      </c>
      <c r="B2245" s="6" t="s">
        <v>2228</v>
      </c>
      <c r="C2245" s="6" t="s">
        <v>9</v>
      </c>
      <c r="D2245" s="6" t="s">
        <v>131</v>
      </c>
      <c r="E2245" s="6" t="s">
        <v>11</v>
      </c>
      <c r="F2245" s="6">
        <v>1</v>
      </c>
      <c r="G2245" s="6">
        <v>551</v>
      </c>
    </row>
    <row r="2246" s="2" customFormat="true" ht="22.5" customHeight="true" spans="1:7">
      <c r="A2246" s="6">
        <f>2244</f>
        <v>2244</v>
      </c>
      <c r="B2246" s="6" t="s">
        <v>2229</v>
      </c>
      <c r="C2246" s="6" t="s">
        <v>15</v>
      </c>
      <c r="D2246" s="6" t="s">
        <v>138</v>
      </c>
      <c r="E2246" s="6" t="s">
        <v>11</v>
      </c>
      <c r="F2246" s="6">
        <v>1</v>
      </c>
      <c r="G2246" s="6">
        <v>597</v>
      </c>
    </row>
    <row r="2247" s="2" customFormat="true" ht="22.5" customHeight="true" spans="1:7">
      <c r="A2247" s="6">
        <f>2245</f>
        <v>2245</v>
      </c>
      <c r="B2247" s="6" t="s">
        <v>2230</v>
      </c>
      <c r="C2247" s="6" t="s">
        <v>15</v>
      </c>
      <c r="D2247" s="6" t="s">
        <v>416</v>
      </c>
      <c r="E2247" s="6" t="s">
        <v>17</v>
      </c>
      <c r="F2247" s="6">
        <v>1</v>
      </c>
      <c r="G2247" s="6">
        <v>627</v>
      </c>
    </row>
    <row r="2248" s="2" customFormat="true" ht="22.5" customHeight="true" spans="1:7">
      <c r="A2248" s="6">
        <f>2246</f>
        <v>2246</v>
      </c>
      <c r="B2248" s="6" t="s">
        <v>2231</v>
      </c>
      <c r="C2248" s="6" t="s">
        <v>9</v>
      </c>
      <c r="D2248" s="6" t="s">
        <v>49</v>
      </c>
      <c r="E2248" s="6" t="s">
        <v>17</v>
      </c>
      <c r="F2248" s="6">
        <v>1</v>
      </c>
      <c r="G2248" s="6">
        <v>656</v>
      </c>
    </row>
    <row r="2249" s="2" customFormat="true" ht="22.5" customHeight="true" spans="1:7">
      <c r="A2249" s="6">
        <f>2247</f>
        <v>2247</v>
      </c>
      <c r="B2249" s="6" t="s">
        <v>2232</v>
      </c>
      <c r="C2249" s="6" t="s">
        <v>15</v>
      </c>
      <c r="D2249" s="6" t="s">
        <v>260</v>
      </c>
      <c r="E2249" s="6" t="s">
        <v>11</v>
      </c>
      <c r="F2249" s="6">
        <v>1</v>
      </c>
      <c r="G2249" s="6">
        <v>551</v>
      </c>
    </row>
    <row r="2250" s="2" customFormat="true" ht="22.5" customHeight="true" spans="1:7">
      <c r="A2250" s="6">
        <f>2248</f>
        <v>2248</v>
      </c>
      <c r="B2250" s="6" t="s">
        <v>2233</v>
      </c>
      <c r="C2250" s="6" t="s">
        <v>9</v>
      </c>
      <c r="D2250" s="6" t="s">
        <v>122</v>
      </c>
      <c r="E2250" s="6" t="s">
        <v>11</v>
      </c>
      <c r="F2250" s="6">
        <v>1</v>
      </c>
      <c r="G2250" s="6">
        <v>551</v>
      </c>
    </row>
    <row r="2251" s="2" customFormat="true" ht="22.5" customHeight="true" spans="1:7">
      <c r="A2251" s="6">
        <f>2249</f>
        <v>2249</v>
      </c>
      <c r="B2251" s="6" t="s">
        <v>2234</v>
      </c>
      <c r="C2251" s="6" t="s">
        <v>15</v>
      </c>
      <c r="D2251" s="6" t="s">
        <v>185</v>
      </c>
      <c r="E2251" s="6" t="s">
        <v>11</v>
      </c>
      <c r="F2251" s="6">
        <v>1</v>
      </c>
      <c r="G2251" s="6">
        <v>594</v>
      </c>
    </row>
    <row r="2252" s="2" customFormat="true" ht="22.5" customHeight="true" spans="1:7">
      <c r="A2252" s="6">
        <f>2250</f>
        <v>2250</v>
      </c>
      <c r="B2252" s="6" t="s">
        <v>2235</v>
      </c>
      <c r="C2252" s="6" t="s">
        <v>15</v>
      </c>
      <c r="D2252" s="6" t="s">
        <v>136</v>
      </c>
      <c r="E2252" s="6" t="s">
        <v>17</v>
      </c>
      <c r="F2252" s="6">
        <v>1</v>
      </c>
      <c r="G2252" s="6">
        <v>690</v>
      </c>
    </row>
    <row r="2253" s="2" customFormat="true" ht="22.5" customHeight="true" spans="1:7">
      <c r="A2253" s="6">
        <f>2251</f>
        <v>2251</v>
      </c>
      <c r="B2253" s="6" t="s">
        <v>2236</v>
      </c>
      <c r="C2253" s="6" t="s">
        <v>9</v>
      </c>
      <c r="D2253" s="6" t="s">
        <v>164</v>
      </c>
      <c r="E2253" s="6" t="s">
        <v>17</v>
      </c>
      <c r="F2253" s="6">
        <v>2</v>
      </c>
      <c r="G2253" s="6">
        <v>1178</v>
      </c>
    </row>
    <row r="2254" s="2" customFormat="true" ht="22.5" customHeight="true" spans="1:7">
      <c r="A2254" s="6">
        <f>2252</f>
        <v>2252</v>
      </c>
      <c r="B2254" s="6" t="s">
        <v>2237</v>
      </c>
      <c r="C2254" s="6" t="s">
        <v>15</v>
      </c>
      <c r="D2254" s="6" t="s">
        <v>416</v>
      </c>
      <c r="E2254" s="6" t="s">
        <v>17</v>
      </c>
      <c r="F2254" s="6">
        <v>1</v>
      </c>
      <c r="G2254" s="6">
        <v>627</v>
      </c>
    </row>
    <row r="2255" s="2" customFormat="true" ht="22.5" customHeight="true" spans="1:7">
      <c r="A2255" s="6">
        <f>2253</f>
        <v>2253</v>
      </c>
      <c r="B2255" s="6" t="s">
        <v>2238</v>
      </c>
      <c r="C2255" s="6" t="s">
        <v>9</v>
      </c>
      <c r="D2255" s="6" t="s">
        <v>13</v>
      </c>
      <c r="E2255" s="6" t="s">
        <v>17</v>
      </c>
      <c r="F2255" s="6">
        <v>2</v>
      </c>
      <c r="G2255" s="6">
        <v>1253</v>
      </c>
    </row>
    <row r="2256" s="2" customFormat="true" ht="22.5" customHeight="true" spans="1:7">
      <c r="A2256" s="6">
        <f>2254</f>
        <v>2254</v>
      </c>
      <c r="B2256" s="6" t="s">
        <v>2239</v>
      </c>
      <c r="C2256" s="6" t="s">
        <v>9</v>
      </c>
      <c r="D2256" s="6" t="s">
        <v>149</v>
      </c>
      <c r="E2256" s="6" t="s">
        <v>17</v>
      </c>
      <c r="F2256" s="6">
        <v>2</v>
      </c>
      <c r="G2256" s="6">
        <v>1102</v>
      </c>
    </row>
    <row r="2257" s="2" customFormat="true" ht="22.5" customHeight="true" spans="1:7">
      <c r="A2257" s="6">
        <f>2255</f>
        <v>2255</v>
      </c>
      <c r="B2257" s="6" t="s">
        <v>2240</v>
      </c>
      <c r="C2257" s="6" t="s">
        <v>9</v>
      </c>
      <c r="D2257" s="6" t="s">
        <v>129</v>
      </c>
      <c r="E2257" s="6" t="s">
        <v>17</v>
      </c>
      <c r="F2257" s="6">
        <v>1</v>
      </c>
      <c r="G2257" s="6">
        <v>627</v>
      </c>
    </row>
    <row r="2258" s="2" customFormat="true" ht="22.5" customHeight="true" spans="1:7">
      <c r="A2258" s="6">
        <f>2256</f>
        <v>2256</v>
      </c>
      <c r="B2258" s="6" t="s">
        <v>487</v>
      </c>
      <c r="C2258" s="6" t="s">
        <v>9</v>
      </c>
      <c r="D2258" s="6" t="s">
        <v>131</v>
      </c>
      <c r="E2258" s="6" t="s">
        <v>11</v>
      </c>
      <c r="F2258" s="6">
        <v>2</v>
      </c>
      <c r="G2258" s="6">
        <v>1102</v>
      </c>
    </row>
    <row r="2259" s="2" customFormat="true" ht="22.5" customHeight="true" spans="1:7">
      <c r="A2259" s="6">
        <f>2257</f>
        <v>2257</v>
      </c>
      <c r="B2259" s="6" t="s">
        <v>212</v>
      </c>
      <c r="C2259" s="6" t="s">
        <v>15</v>
      </c>
      <c r="D2259" s="6" t="s">
        <v>185</v>
      </c>
      <c r="E2259" s="6" t="s">
        <v>11</v>
      </c>
      <c r="F2259" s="6">
        <v>1</v>
      </c>
      <c r="G2259" s="6">
        <v>594</v>
      </c>
    </row>
    <row r="2260" s="2" customFormat="true" ht="22.5" customHeight="true" spans="1:7">
      <c r="A2260" s="6">
        <f>2258</f>
        <v>2258</v>
      </c>
      <c r="B2260" s="6" t="s">
        <v>2241</v>
      </c>
      <c r="C2260" s="6" t="s">
        <v>9</v>
      </c>
      <c r="D2260" s="6" t="s">
        <v>138</v>
      </c>
      <c r="E2260" s="6" t="s">
        <v>11</v>
      </c>
      <c r="F2260" s="6">
        <v>1</v>
      </c>
      <c r="G2260" s="6">
        <v>597</v>
      </c>
    </row>
    <row r="2261" s="2" customFormat="true" ht="22.5" customHeight="true" spans="1:7">
      <c r="A2261" s="6">
        <f>2259</f>
        <v>2259</v>
      </c>
      <c r="B2261" s="6" t="s">
        <v>2242</v>
      </c>
      <c r="C2261" s="6" t="s">
        <v>15</v>
      </c>
      <c r="D2261" s="6" t="s">
        <v>16</v>
      </c>
      <c r="E2261" s="6" t="s">
        <v>17</v>
      </c>
      <c r="F2261" s="6">
        <v>1</v>
      </c>
      <c r="G2261" s="6">
        <v>690</v>
      </c>
    </row>
    <row r="2262" s="2" customFormat="true" ht="22.5" customHeight="true" spans="1:7">
      <c r="A2262" s="6">
        <f>2260</f>
        <v>2260</v>
      </c>
      <c r="B2262" s="6" t="s">
        <v>207</v>
      </c>
      <c r="C2262" s="6" t="s">
        <v>15</v>
      </c>
      <c r="D2262" s="6" t="s">
        <v>230</v>
      </c>
      <c r="E2262" s="6" t="s">
        <v>17</v>
      </c>
      <c r="F2262" s="6">
        <v>1</v>
      </c>
      <c r="G2262" s="6">
        <v>706</v>
      </c>
    </row>
    <row r="2263" s="2" customFormat="true" ht="22.5" customHeight="true" spans="1:7">
      <c r="A2263" s="6">
        <f>2261</f>
        <v>2261</v>
      </c>
      <c r="B2263" s="6" t="s">
        <v>2243</v>
      </c>
      <c r="C2263" s="6" t="s">
        <v>15</v>
      </c>
      <c r="D2263" s="6" t="s">
        <v>143</v>
      </c>
      <c r="E2263" s="6" t="s">
        <v>17</v>
      </c>
      <c r="F2263" s="6">
        <v>1</v>
      </c>
      <c r="G2263" s="6">
        <v>627</v>
      </c>
    </row>
    <row r="2264" s="2" customFormat="true" ht="22.5" customHeight="true" spans="1:7">
      <c r="A2264" s="6">
        <f>2262</f>
        <v>2262</v>
      </c>
      <c r="B2264" s="6" t="s">
        <v>2244</v>
      </c>
      <c r="C2264" s="6" t="s">
        <v>9</v>
      </c>
      <c r="D2264" s="6" t="s">
        <v>149</v>
      </c>
      <c r="E2264" s="6" t="s">
        <v>17</v>
      </c>
      <c r="F2264" s="6">
        <v>2</v>
      </c>
      <c r="G2264" s="6">
        <v>1178</v>
      </c>
    </row>
    <row r="2265" s="2" customFormat="true" ht="22.5" customHeight="true" spans="1:7">
      <c r="A2265" s="6">
        <f>2263</f>
        <v>2263</v>
      </c>
      <c r="B2265" s="6" t="s">
        <v>2245</v>
      </c>
      <c r="C2265" s="6" t="s">
        <v>9</v>
      </c>
      <c r="D2265" s="6" t="s">
        <v>167</v>
      </c>
      <c r="E2265" s="6" t="s">
        <v>11</v>
      </c>
      <c r="F2265" s="6">
        <v>2</v>
      </c>
      <c r="G2265" s="6">
        <v>1102</v>
      </c>
    </row>
    <row r="2266" s="2" customFormat="true" ht="22.5" customHeight="true" spans="1:7">
      <c r="A2266" s="6">
        <f>2264</f>
        <v>2264</v>
      </c>
      <c r="B2266" s="6" t="s">
        <v>2246</v>
      </c>
      <c r="C2266" s="6" t="s">
        <v>15</v>
      </c>
      <c r="D2266" s="6" t="s">
        <v>209</v>
      </c>
      <c r="E2266" s="6" t="s">
        <v>11</v>
      </c>
      <c r="F2266" s="6">
        <v>2</v>
      </c>
      <c r="G2266" s="6">
        <v>1194</v>
      </c>
    </row>
    <row r="2267" s="2" customFormat="true" ht="22.5" customHeight="true" spans="1:7">
      <c r="A2267" s="6">
        <f>2265</f>
        <v>2265</v>
      </c>
      <c r="B2267" s="6" t="s">
        <v>2247</v>
      </c>
      <c r="C2267" s="6" t="s">
        <v>9</v>
      </c>
      <c r="D2267" s="6" t="s">
        <v>117</v>
      </c>
      <c r="E2267" s="6" t="s">
        <v>17</v>
      </c>
      <c r="F2267" s="6">
        <v>2</v>
      </c>
      <c r="G2267" s="6">
        <v>1137</v>
      </c>
    </row>
    <row r="2268" s="2" customFormat="true" ht="22.5" customHeight="true" spans="1:7">
      <c r="A2268" s="6">
        <f>2266</f>
        <v>2266</v>
      </c>
      <c r="B2268" s="6" t="s">
        <v>2248</v>
      </c>
      <c r="C2268" s="6" t="s">
        <v>15</v>
      </c>
      <c r="D2268" s="6" t="s">
        <v>159</v>
      </c>
      <c r="E2268" s="6" t="s">
        <v>17</v>
      </c>
      <c r="F2268" s="6">
        <v>2</v>
      </c>
      <c r="G2268" s="6">
        <v>1178</v>
      </c>
    </row>
    <row r="2269" s="2" customFormat="true" ht="22.5" customHeight="true" spans="1:7">
      <c r="A2269" s="6">
        <f>2267</f>
        <v>2267</v>
      </c>
      <c r="B2269" s="6" t="s">
        <v>2249</v>
      </c>
      <c r="C2269" s="6" t="s">
        <v>9</v>
      </c>
      <c r="D2269" s="6" t="s">
        <v>136</v>
      </c>
      <c r="E2269" s="6" t="s">
        <v>11</v>
      </c>
      <c r="F2269" s="6">
        <v>1</v>
      </c>
      <c r="G2269" s="6">
        <v>594</v>
      </c>
    </row>
    <row r="2270" s="2" customFormat="true" ht="22.5" customHeight="true" spans="1:7">
      <c r="A2270" s="6">
        <f>2268</f>
        <v>2268</v>
      </c>
      <c r="B2270" s="6" t="s">
        <v>2250</v>
      </c>
      <c r="C2270" s="6" t="s">
        <v>9</v>
      </c>
      <c r="D2270" s="6" t="s">
        <v>180</v>
      </c>
      <c r="E2270" s="6" t="s">
        <v>17</v>
      </c>
      <c r="F2270" s="6">
        <v>1</v>
      </c>
      <c r="G2270" s="6">
        <v>551</v>
      </c>
    </row>
    <row r="2271" s="2" customFormat="true" ht="22.5" customHeight="true" spans="1:7">
      <c r="A2271" s="6">
        <f>2269</f>
        <v>2269</v>
      </c>
      <c r="B2271" s="6" t="s">
        <v>2251</v>
      </c>
      <c r="C2271" s="6" t="s">
        <v>9</v>
      </c>
      <c r="D2271" s="6" t="s">
        <v>270</v>
      </c>
      <c r="E2271" s="6" t="s">
        <v>17</v>
      </c>
      <c r="F2271" s="6">
        <v>2</v>
      </c>
      <c r="G2271" s="6">
        <v>1178</v>
      </c>
    </row>
    <row r="2272" s="2" customFormat="true" ht="22.5" customHeight="true" spans="1:7">
      <c r="A2272" s="6">
        <f>2270</f>
        <v>2270</v>
      </c>
      <c r="B2272" s="6" t="s">
        <v>2252</v>
      </c>
      <c r="C2272" s="6" t="s">
        <v>9</v>
      </c>
      <c r="D2272" s="6" t="s">
        <v>164</v>
      </c>
      <c r="E2272" s="6" t="s">
        <v>17</v>
      </c>
      <c r="F2272" s="6">
        <v>2</v>
      </c>
      <c r="G2272" s="6">
        <v>1178</v>
      </c>
    </row>
    <row r="2273" s="2" customFormat="true" ht="22.5" customHeight="true" spans="1:7">
      <c r="A2273" s="6">
        <f>2271</f>
        <v>2271</v>
      </c>
      <c r="B2273" s="6" t="s">
        <v>2229</v>
      </c>
      <c r="C2273" s="6" t="s">
        <v>15</v>
      </c>
      <c r="D2273" s="6" t="s">
        <v>188</v>
      </c>
      <c r="E2273" s="6" t="s">
        <v>11</v>
      </c>
      <c r="F2273" s="6">
        <v>1</v>
      </c>
      <c r="G2273" s="6">
        <v>551</v>
      </c>
    </row>
    <row r="2274" s="2" customFormat="true" ht="22.5" customHeight="true" spans="1:7">
      <c r="A2274" s="6">
        <f>2272</f>
        <v>2272</v>
      </c>
      <c r="B2274" s="6" t="s">
        <v>2253</v>
      </c>
      <c r="C2274" s="6" t="s">
        <v>15</v>
      </c>
      <c r="D2274" s="6" t="s">
        <v>49</v>
      </c>
      <c r="E2274" s="6" t="s">
        <v>11</v>
      </c>
      <c r="F2274" s="6">
        <v>1</v>
      </c>
      <c r="G2274" s="6">
        <v>597</v>
      </c>
    </row>
    <row r="2275" s="2" customFormat="true" ht="22.5" customHeight="true" spans="1:7">
      <c r="A2275" s="6">
        <f>2273</f>
        <v>2273</v>
      </c>
      <c r="B2275" s="6" t="s">
        <v>2254</v>
      </c>
      <c r="C2275" s="6" t="s">
        <v>15</v>
      </c>
      <c r="D2275" s="6" t="s">
        <v>16</v>
      </c>
      <c r="E2275" s="6" t="s">
        <v>17</v>
      </c>
      <c r="F2275" s="6">
        <v>1</v>
      </c>
      <c r="G2275" s="6">
        <v>690</v>
      </c>
    </row>
    <row r="2276" s="2" customFormat="true" ht="22.5" customHeight="true" spans="1:7">
      <c r="A2276" s="6">
        <f>2274</f>
        <v>2274</v>
      </c>
      <c r="B2276" s="6" t="s">
        <v>2255</v>
      </c>
      <c r="C2276" s="6" t="s">
        <v>9</v>
      </c>
      <c r="D2276" s="6" t="s">
        <v>117</v>
      </c>
      <c r="E2276" s="6" t="s">
        <v>11</v>
      </c>
      <c r="F2276" s="6">
        <v>2</v>
      </c>
      <c r="G2276" s="6">
        <v>1194</v>
      </c>
    </row>
    <row r="2277" s="2" customFormat="true" ht="22.5" customHeight="true" spans="1:7">
      <c r="A2277" s="6">
        <f>2275</f>
        <v>2275</v>
      </c>
      <c r="B2277" s="6" t="s">
        <v>2256</v>
      </c>
      <c r="C2277" s="6" t="s">
        <v>9</v>
      </c>
      <c r="D2277" s="6" t="s">
        <v>260</v>
      </c>
      <c r="E2277" s="6" t="s">
        <v>17</v>
      </c>
      <c r="F2277" s="6">
        <v>2</v>
      </c>
      <c r="G2277" s="6">
        <v>1178</v>
      </c>
    </row>
    <row r="2278" s="2" customFormat="true" ht="22.5" customHeight="true" spans="1:7">
      <c r="A2278" s="6">
        <f>2276</f>
        <v>2276</v>
      </c>
      <c r="B2278" s="6" t="s">
        <v>2257</v>
      </c>
      <c r="C2278" s="6" t="s">
        <v>9</v>
      </c>
      <c r="D2278" s="6" t="s">
        <v>16</v>
      </c>
      <c r="E2278" s="6" t="s">
        <v>11</v>
      </c>
      <c r="F2278" s="6">
        <v>2</v>
      </c>
      <c r="G2278" s="6">
        <v>1188</v>
      </c>
    </row>
    <row r="2279" s="2" customFormat="true" ht="22.5" customHeight="true" spans="1:7">
      <c r="A2279" s="6">
        <f>2277</f>
        <v>2277</v>
      </c>
      <c r="B2279" s="6" t="s">
        <v>2258</v>
      </c>
      <c r="C2279" s="6" t="s">
        <v>9</v>
      </c>
      <c r="D2279" s="6" t="s">
        <v>129</v>
      </c>
      <c r="E2279" s="6" t="s">
        <v>17</v>
      </c>
      <c r="F2279" s="6">
        <v>2</v>
      </c>
      <c r="G2279" s="6">
        <v>1178</v>
      </c>
    </row>
    <row r="2280" s="2" customFormat="true" ht="22.5" customHeight="true" spans="1:7">
      <c r="A2280" s="6">
        <f>2278</f>
        <v>2278</v>
      </c>
      <c r="B2280" s="6" t="s">
        <v>2259</v>
      </c>
      <c r="C2280" s="6" t="s">
        <v>9</v>
      </c>
      <c r="D2280" s="6" t="s">
        <v>182</v>
      </c>
      <c r="E2280" s="6" t="s">
        <v>17</v>
      </c>
      <c r="F2280" s="6">
        <v>2</v>
      </c>
      <c r="G2280" s="6">
        <v>1380</v>
      </c>
    </row>
    <row r="2281" s="2" customFormat="true" ht="22.5" customHeight="true" spans="1:7">
      <c r="A2281" s="6">
        <f>2279</f>
        <v>2279</v>
      </c>
      <c r="B2281" s="6" t="s">
        <v>2260</v>
      </c>
      <c r="C2281" s="6" t="s">
        <v>9</v>
      </c>
      <c r="D2281" s="6" t="s">
        <v>67</v>
      </c>
      <c r="E2281" s="6" t="s">
        <v>11</v>
      </c>
      <c r="F2281" s="6">
        <v>2</v>
      </c>
      <c r="G2281" s="6">
        <v>1194</v>
      </c>
    </row>
    <row r="2282" s="2" customFormat="true" ht="22.5" customHeight="true" spans="1:7">
      <c r="A2282" s="6">
        <f>2280</f>
        <v>2280</v>
      </c>
      <c r="B2282" s="6" t="s">
        <v>2261</v>
      </c>
      <c r="C2282" s="6" t="s">
        <v>15</v>
      </c>
      <c r="D2282" s="6" t="s">
        <v>239</v>
      </c>
      <c r="E2282" s="6" t="s">
        <v>17</v>
      </c>
      <c r="F2282" s="6">
        <v>2</v>
      </c>
      <c r="G2282" s="6">
        <v>1178</v>
      </c>
    </row>
    <row r="2283" s="2" customFormat="true" ht="22.5" customHeight="true" spans="1:7">
      <c r="A2283" s="6">
        <f>2281</f>
        <v>2281</v>
      </c>
      <c r="B2283" s="6" t="s">
        <v>2262</v>
      </c>
      <c r="C2283" s="6" t="s">
        <v>9</v>
      </c>
      <c r="D2283" s="6" t="s">
        <v>136</v>
      </c>
      <c r="E2283" s="6" t="s">
        <v>11</v>
      </c>
      <c r="F2283" s="6">
        <v>2</v>
      </c>
      <c r="G2283" s="6">
        <v>1284</v>
      </c>
    </row>
    <row r="2284" s="2" customFormat="true" ht="22.5" customHeight="true" spans="1:7">
      <c r="A2284" s="6">
        <f>2282</f>
        <v>2282</v>
      </c>
      <c r="B2284" s="6" t="s">
        <v>2263</v>
      </c>
      <c r="C2284" s="6" t="s">
        <v>15</v>
      </c>
      <c r="D2284" s="6" t="s">
        <v>16</v>
      </c>
      <c r="E2284" s="6" t="s">
        <v>17</v>
      </c>
      <c r="F2284" s="6">
        <v>1</v>
      </c>
      <c r="G2284" s="6">
        <v>690</v>
      </c>
    </row>
    <row r="2285" s="2" customFormat="true" ht="22.5" customHeight="true" spans="1:7">
      <c r="A2285" s="6">
        <f>2283</f>
        <v>2283</v>
      </c>
      <c r="B2285" s="6" t="s">
        <v>2264</v>
      </c>
      <c r="C2285" s="6" t="s">
        <v>9</v>
      </c>
      <c r="D2285" s="6" t="s">
        <v>146</v>
      </c>
      <c r="E2285" s="6" t="s">
        <v>17</v>
      </c>
      <c r="F2285" s="6">
        <v>2</v>
      </c>
      <c r="G2285" s="6">
        <v>1178</v>
      </c>
    </row>
    <row r="2286" s="2" customFormat="true" ht="22.5" customHeight="true" spans="1:7">
      <c r="A2286" s="6">
        <f>2284</f>
        <v>2284</v>
      </c>
      <c r="B2286" s="6" t="s">
        <v>2265</v>
      </c>
      <c r="C2286" s="6" t="s">
        <v>9</v>
      </c>
      <c r="D2286" s="6" t="s">
        <v>230</v>
      </c>
      <c r="E2286" s="6" t="s">
        <v>11</v>
      </c>
      <c r="F2286" s="6">
        <v>1</v>
      </c>
      <c r="G2286" s="6">
        <v>597</v>
      </c>
    </row>
    <row r="2287" s="2" customFormat="true" ht="22.5" customHeight="true" spans="1:7">
      <c r="A2287" s="6">
        <f>2285</f>
        <v>2285</v>
      </c>
      <c r="B2287" s="6" t="s">
        <v>1223</v>
      </c>
      <c r="C2287" s="6" t="s">
        <v>9</v>
      </c>
      <c r="D2287" s="6" t="s">
        <v>209</v>
      </c>
      <c r="E2287" s="6" t="s">
        <v>11</v>
      </c>
      <c r="F2287" s="6">
        <v>2</v>
      </c>
      <c r="G2287" s="6">
        <v>1194</v>
      </c>
    </row>
    <row r="2288" s="2" customFormat="true" ht="22.5" customHeight="true" spans="1:7">
      <c r="A2288" s="6">
        <f>2286</f>
        <v>2286</v>
      </c>
      <c r="B2288" s="6" t="s">
        <v>2266</v>
      </c>
      <c r="C2288" s="6" t="s">
        <v>9</v>
      </c>
      <c r="D2288" s="6" t="s">
        <v>49</v>
      </c>
      <c r="E2288" s="6" t="s">
        <v>17</v>
      </c>
      <c r="F2288" s="6">
        <v>1</v>
      </c>
      <c r="G2288" s="6">
        <v>656</v>
      </c>
    </row>
    <row r="2289" s="2" customFormat="true" ht="22.5" customHeight="true" spans="1:7">
      <c r="A2289" s="6">
        <f>2287</f>
        <v>2287</v>
      </c>
      <c r="B2289" s="6" t="s">
        <v>2267</v>
      </c>
      <c r="C2289" s="6" t="s">
        <v>9</v>
      </c>
      <c r="D2289" s="6" t="s">
        <v>117</v>
      </c>
      <c r="E2289" s="6" t="s">
        <v>11</v>
      </c>
      <c r="F2289" s="6">
        <v>2</v>
      </c>
      <c r="G2289" s="6">
        <v>1194</v>
      </c>
    </row>
    <row r="2290" s="2" customFormat="true" ht="22.5" customHeight="true" spans="1:7">
      <c r="A2290" s="6">
        <f>2288</f>
        <v>2288</v>
      </c>
      <c r="B2290" s="6" t="s">
        <v>2268</v>
      </c>
      <c r="C2290" s="6" t="s">
        <v>9</v>
      </c>
      <c r="D2290" s="6" t="s">
        <v>270</v>
      </c>
      <c r="E2290" s="6" t="s">
        <v>17</v>
      </c>
      <c r="F2290" s="6">
        <v>2</v>
      </c>
      <c r="G2290" s="6">
        <v>1178</v>
      </c>
    </row>
    <row r="2291" s="2" customFormat="true" ht="22.5" customHeight="true" spans="1:7">
      <c r="A2291" s="6">
        <f>2289</f>
        <v>2289</v>
      </c>
      <c r="B2291" s="6" t="s">
        <v>2269</v>
      </c>
      <c r="C2291" s="6" t="s">
        <v>9</v>
      </c>
      <c r="D2291" s="6" t="s">
        <v>222</v>
      </c>
      <c r="E2291" s="6" t="s">
        <v>17</v>
      </c>
      <c r="F2291" s="6">
        <v>2</v>
      </c>
      <c r="G2291" s="6">
        <v>1102</v>
      </c>
    </row>
    <row r="2292" s="2" customFormat="true" ht="22.5" customHeight="true" spans="1:7">
      <c r="A2292" s="6">
        <f>2290</f>
        <v>2290</v>
      </c>
      <c r="B2292" s="6" t="s">
        <v>2270</v>
      </c>
      <c r="C2292" s="6" t="s">
        <v>9</v>
      </c>
      <c r="D2292" s="6" t="s">
        <v>67</v>
      </c>
      <c r="E2292" s="6" t="s">
        <v>11</v>
      </c>
      <c r="F2292" s="6">
        <v>1</v>
      </c>
      <c r="G2292" s="6">
        <v>597</v>
      </c>
    </row>
    <row r="2293" s="2" customFormat="true" ht="22.5" customHeight="true" spans="1:7">
      <c r="A2293" s="6">
        <f>2291</f>
        <v>2291</v>
      </c>
      <c r="B2293" s="6" t="s">
        <v>2271</v>
      </c>
      <c r="C2293" s="6" t="s">
        <v>9</v>
      </c>
      <c r="D2293" s="6" t="s">
        <v>16</v>
      </c>
      <c r="E2293" s="6" t="s">
        <v>79</v>
      </c>
      <c r="F2293" s="6">
        <v>2</v>
      </c>
      <c r="G2293" s="6">
        <v>1284</v>
      </c>
    </row>
    <row r="2294" s="2" customFormat="true" ht="22.5" customHeight="true" spans="1:7">
      <c r="A2294" s="6">
        <f>2292</f>
        <v>2292</v>
      </c>
      <c r="B2294" s="6" t="s">
        <v>2272</v>
      </c>
      <c r="C2294" s="6" t="s">
        <v>15</v>
      </c>
      <c r="D2294" s="6" t="s">
        <v>192</v>
      </c>
      <c r="E2294" s="6" t="s">
        <v>11</v>
      </c>
      <c r="F2294" s="6">
        <v>1</v>
      </c>
      <c r="G2294" s="6">
        <v>680</v>
      </c>
    </row>
    <row r="2295" s="2" customFormat="true" ht="22.5" customHeight="true" spans="1:7">
      <c r="A2295" s="6">
        <f>2293</f>
        <v>2293</v>
      </c>
      <c r="B2295" s="6" t="s">
        <v>2273</v>
      </c>
      <c r="C2295" s="6" t="s">
        <v>9</v>
      </c>
      <c r="D2295" s="6" t="s">
        <v>16</v>
      </c>
      <c r="E2295" s="6" t="s">
        <v>11</v>
      </c>
      <c r="F2295" s="6">
        <v>2</v>
      </c>
      <c r="G2295" s="6">
        <v>1188</v>
      </c>
    </row>
    <row r="2296" s="2" customFormat="true" ht="22.5" customHeight="true" spans="1:7">
      <c r="A2296" s="6">
        <f>2294</f>
        <v>2294</v>
      </c>
      <c r="B2296" s="6" t="s">
        <v>2274</v>
      </c>
      <c r="C2296" s="6" t="s">
        <v>15</v>
      </c>
      <c r="D2296" s="6" t="s">
        <v>169</v>
      </c>
      <c r="E2296" s="6" t="s">
        <v>17</v>
      </c>
      <c r="F2296" s="6">
        <v>2</v>
      </c>
      <c r="G2296" s="6">
        <v>1178</v>
      </c>
    </row>
    <row r="2297" s="2" customFormat="true" ht="22.5" customHeight="true" spans="1:7">
      <c r="A2297" s="6">
        <f>2295</f>
        <v>2295</v>
      </c>
      <c r="B2297" s="6" t="s">
        <v>2275</v>
      </c>
      <c r="C2297" s="6" t="s">
        <v>15</v>
      </c>
      <c r="D2297" s="6" t="s">
        <v>416</v>
      </c>
      <c r="E2297" s="6" t="s">
        <v>17</v>
      </c>
      <c r="F2297" s="6">
        <v>1</v>
      </c>
      <c r="G2297" s="6">
        <v>627</v>
      </c>
    </row>
    <row r="2298" s="2" customFormat="true" ht="22.5" customHeight="true" spans="1:7">
      <c r="A2298" s="6">
        <f>2296</f>
        <v>2296</v>
      </c>
      <c r="B2298" s="6" t="s">
        <v>2276</v>
      </c>
      <c r="C2298" s="6" t="s">
        <v>9</v>
      </c>
      <c r="D2298" s="6" t="s">
        <v>270</v>
      </c>
      <c r="E2298" s="6" t="s">
        <v>17</v>
      </c>
      <c r="F2298" s="6">
        <v>2</v>
      </c>
      <c r="G2298" s="6">
        <v>1554</v>
      </c>
    </row>
    <row r="2299" s="2" customFormat="true" ht="22.5" customHeight="true" spans="1:7">
      <c r="A2299" s="6">
        <f>2297</f>
        <v>2297</v>
      </c>
      <c r="B2299" s="6" t="s">
        <v>2277</v>
      </c>
      <c r="C2299" s="6" t="s">
        <v>9</v>
      </c>
      <c r="D2299" s="6" t="s">
        <v>16</v>
      </c>
      <c r="E2299" s="6" t="s">
        <v>17</v>
      </c>
      <c r="F2299" s="6">
        <v>2</v>
      </c>
      <c r="G2299" s="6">
        <v>1380</v>
      </c>
    </row>
    <row r="2300" s="2" customFormat="true" ht="22.5" customHeight="true" spans="1:7">
      <c r="A2300" s="6">
        <f>2298</f>
        <v>2298</v>
      </c>
      <c r="B2300" s="6" t="s">
        <v>2278</v>
      </c>
      <c r="C2300" s="6" t="s">
        <v>15</v>
      </c>
      <c r="D2300" s="6" t="s">
        <v>124</v>
      </c>
      <c r="E2300" s="6" t="s">
        <v>17</v>
      </c>
      <c r="F2300" s="6">
        <v>2</v>
      </c>
      <c r="G2300" s="6">
        <v>1178</v>
      </c>
    </row>
    <row r="2301" s="2" customFormat="true" ht="22.5" customHeight="true" spans="1:7">
      <c r="A2301" s="6">
        <f>2299</f>
        <v>2299</v>
      </c>
      <c r="B2301" s="6" t="s">
        <v>2072</v>
      </c>
      <c r="C2301" s="6" t="s">
        <v>9</v>
      </c>
      <c r="D2301" s="6" t="s">
        <v>180</v>
      </c>
      <c r="E2301" s="6" t="s">
        <v>11</v>
      </c>
      <c r="F2301" s="6">
        <v>2</v>
      </c>
      <c r="G2301" s="6">
        <v>951</v>
      </c>
    </row>
    <row r="2302" s="2" customFormat="true" ht="22.5" customHeight="true" spans="1:7">
      <c r="A2302" s="6">
        <f>2300</f>
        <v>2300</v>
      </c>
      <c r="B2302" s="6" t="s">
        <v>2279</v>
      </c>
      <c r="C2302" s="6" t="s">
        <v>15</v>
      </c>
      <c r="D2302" s="6" t="s">
        <v>136</v>
      </c>
      <c r="E2302" s="6" t="s">
        <v>17</v>
      </c>
      <c r="F2302" s="6">
        <v>1</v>
      </c>
      <c r="G2302" s="6">
        <v>690</v>
      </c>
    </row>
    <row r="2303" s="2" customFormat="true" ht="22.5" customHeight="true" spans="1:7">
      <c r="A2303" s="6">
        <f>2301</f>
        <v>2301</v>
      </c>
      <c r="B2303" s="6" t="s">
        <v>2280</v>
      </c>
      <c r="C2303" s="6" t="s">
        <v>15</v>
      </c>
      <c r="D2303" s="6" t="s">
        <v>192</v>
      </c>
      <c r="E2303" s="6" t="s">
        <v>79</v>
      </c>
      <c r="F2303" s="6">
        <v>1</v>
      </c>
      <c r="G2303" s="6">
        <v>690</v>
      </c>
    </row>
    <row r="2304" s="2" customFormat="true" ht="22.5" customHeight="true" spans="1:7">
      <c r="A2304" s="6">
        <f>2302</f>
        <v>2302</v>
      </c>
      <c r="B2304" s="6" t="s">
        <v>2281</v>
      </c>
      <c r="C2304" s="6" t="s">
        <v>9</v>
      </c>
      <c r="D2304" s="6" t="s">
        <v>180</v>
      </c>
      <c r="E2304" s="6" t="s">
        <v>17</v>
      </c>
      <c r="F2304" s="6">
        <v>2</v>
      </c>
      <c r="G2304" s="6">
        <v>1027</v>
      </c>
    </row>
    <row r="2305" s="2" customFormat="true" ht="22.5" customHeight="true" spans="1:7">
      <c r="A2305" s="6">
        <f>2303</f>
        <v>2303</v>
      </c>
      <c r="B2305" s="6" t="s">
        <v>2282</v>
      </c>
      <c r="C2305" s="6" t="s">
        <v>9</v>
      </c>
      <c r="D2305" s="6" t="s">
        <v>13</v>
      </c>
      <c r="E2305" s="6" t="s">
        <v>11</v>
      </c>
      <c r="F2305" s="6">
        <v>1</v>
      </c>
      <c r="G2305" s="6">
        <v>597</v>
      </c>
    </row>
    <row r="2306" s="2" customFormat="true" ht="22.5" customHeight="true" spans="1:7">
      <c r="A2306" s="6">
        <f>2304</f>
        <v>2304</v>
      </c>
      <c r="B2306" s="6" t="s">
        <v>2283</v>
      </c>
      <c r="C2306" s="6" t="s">
        <v>15</v>
      </c>
      <c r="D2306" s="6" t="s">
        <v>270</v>
      </c>
      <c r="E2306" s="6" t="s">
        <v>17</v>
      </c>
      <c r="F2306" s="6">
        <v>2</v>
      </c>
      <c r="G2306" s="6">
        <v>1254</v>
      </c>
    </row>
    <row r="2307" s="2" customFormat="true" ht="22.5" customHeight="true" spans="1:7">
      <c r="A2307" s="6">
        <f>2305</f>
        <v>2305</v>
      </c>
      <c r="B2307" s="6" t="s">
        <v>2284</v>
      </c>
      <c r="C2307" s="6" t="s">
        <v>15</v>
      </c>
      <c r="D2307" s="6" t="s">
        <v>182</v>
      </c>
      <c r="E2307" s="6" t="s">
        <v>17</v>
      </c>
      <c r="F2307" s="6">
        <v>1</v>
      </c>
      <c r="G2307" s="6">
        <v>690</v>
      </c>
    </row>
    <row r="2308" s="2" customFormat="true" ht="22.5" customHeight="true" spans="1:7">
      <c r="A2308" s="6">
        <f>2306</f>
        <v>2306</v>
      </c>
      <c r="B2308" s="6" t="s">
        <v>2285</v>
      </c>
      <c r="C2308" s="6" t="s">
        <v>15</v>
      </c>
      <c r="D2308" s="6" t="s">
        <v>159</v>
      </c>
      <c r="E2308" s="6" t="s">
        <v>17</v>
      </c>
      <c r="F2308" s="6">
        <v>2</v>
      </c>
      <c r="G2308" s="6">
        <v>1178</v>
      </c>
    </row>
    <row r="2309" s="2" customFormat="true" ht="22.5" customHeight="true" spans="1:7">
      <c r="A2309" s="6">
        <f>2307</f>
        <v>2307</v>
      </c>
      <c r="B2309" s="6" t="s">
        <v>2286</v>
      </c>
      <c r="C2309" s="6" t="s">
        <v>9</v>
      </c>
      <c r="D2309" s="6" t="s">
        <v>188</v>
      </c>
      <c r="E2309" s="6" t="s">
        <v>17</v>
      </c>
      <c r="F2309" s="6">
        <v>2</v>
      </c>
      <c r="G2309" s="6">
        <v>1027</v>
      </c>
    </row>
    <row r="2310" s="2" customFormat="true" ht="22.5" customHeight="true" spans="1:7">
      <c r="A2310" s="6">
        <f>2308</f>
        <v>2308</v>
      </c>
      <c r="B2310" s="6" t="s">
        <v>2287</v>
      </c>
      <c r="C2310" s="6" t="s">
        <v>9</v>
      </c>
      <c r="D2310" s="6" t="s">
        <v>146</v>
      </c>
      <c r="E2310" s="6" t="s">
        <v>17</v>
      </c>
      <c r="F2310" s="6">
        <v>2</v>
      </c>
      <c r="G2310" s="6">
        <v>1027</v>
      </c>
    </row>
    <row r="2311" s="2" customFormat="true" ht="22.5" customHeight="true" spans="1:7">
      <c r="A2311" s="6">
        <f>2309</f>
        <v>2309</v>
      </c>
      <c r="B2311" s="6" t="s">
        <v>2288</v>
      </c>
      <c r="C2311" s="6" t="s">
        <v>15</v>
      </c>
      <c r="D2311" s="6" t="s">
        <v>16</v>
      </c>
      <c r="E2311" s="6" t="s">
        <v>17</v>
      </c>
      <c r="F2311" s="6">
        <v>1</v>
      </c>
      <c r="G2311" s="6">
        <v>690</v>
      </c>
    </row>
    <row r="2312" s="2" customFormat="true" ht="22.5" customHeight="true" spans="1:7">
      <c r="A2312" s="6">
        <f>2310</f>
        <v>2310</v>
      </c>
      <c r="B2312" s="6" t="s">
        <v>2289</v>
      </c>
      <c r="C2312" s="6" t="s">
        <v>9</v>
      </c>
      <c r="D2312" s="6" t="s">
        <v>222</v>
      </c>
      <c r="E2312" s="6" t="s">
        <v>17</v>
      </c>
      <c r="F2312" s="6">
        <v>2</v>
      </c>
      <c r="G2312" s="6">
        <v>1027</v>
      </c>
    </row>
    <row r="2313" s="2" customFormat="true" ht="22.5" customHeight="true" spans="1:7">
      <c r="A2313" s="6">
        <f>2311</f>
        <v>2311</v>
      </c>
      <c r="B2313" s="6" t="s">
        <v>2290</v>
      </c>
      <c r="C2313" s="6" t="s">
        <v>9</v>
      </c>
      <c r="D2313" s="6" t="s">
        <v>202</v>
      </c>
      <c r="E2313" s="6" t="s">
        <v>11</v>
      </c>
      <c r="F2313" s="6">
        <v>1</v>
      </c>
      <c r="G2313" s="6">
        <v>597</v>
      </c>
    </row>
    <row r="2314" s="2" customFormat="true" ht="22.5" customHeight="true" spans="1:7">
      <c r="A2314" s="6">
        <f>2312</f>
        <v>2312</v>
      </c>
      <c r="B2314" s="6" t="s">
        <v>2291</v>
      </c>
      <c r="C2314" s="6" t="s">
        <v>9</v>
      </c>
      <c r="D2314" s="6" t="s">
        <v>16</v>
      </c>
      <c r="E2314" s="6" t="s">
        <v>17</v>
      </c>
      <c r="F2314" s="6">
        <v>1</v>
      </c>
      <c r="G2314" s="6">
        <v>690</v>
      </c>
    </row>
    <row r="2315" s="2" customFormat="true" ht="22.5" customHeight="true" spans="1:7">
      <c r="A2315" s="6">
        <f>2313</f>
        <v>2313</v>
      </c>
      <c r="B2315" s="6" t="s">
        <v>2292</v>
      </c>
      <c r="C2315" s="6" t="s">
        <v>15</v>
      </c>
      <c r="D2315" s="6" t="s">
        <v>131</v>
      </c>
      <c r="E2315" s="6" t="s">
        <v>17</v>
      </c>
      <c r="F2315" s="6">
        <v>2</v>
      </c>
      <c r="G2315" s="6">
        <v>1027</v>
      </c>
    </row>
    <row r="2316" s="2" customFormat="true" ht="22.5" customHeight="true" spans="1:7">
      <c r="A2316" s="6">
        <f>2314</f>
        <v>2314</v>
      </c>
      <c r="B2316" s="6" t="s">
        <v>2293</v>
      </c>
      <c r="C2316" s="6" t="s">
        <v>15</v>
      </c>
      <c r="D2316" s="6" t="s">
        <v>270</v>
      </c>
      <c r="E2316" s="6" t="s">
        <v>17</v>
      </c>
      <c r="F2316" s="6">
        <v>1</v>
      </c>
      <c r="G2316" s="6">
        <v>400</v>
      </c>
    </row>
    <row r="2317" s="2" customFormat="true" ht="22.5" customHeight="true" spans="1:7">
      <c r="A2317" s="6">
        <f>2315</f>
        <v>2315</v>
      </c>
      <c r="B2317" s="6" t="s">
        <v>2294</v>
      </c>
      <c r="C2317" s="6" t="s">
        <v>15</v>
      </c>
      <c r="D2317" s="6" t="s">
        <v>13</v>
      </c>
      <c r="E2317" s="6" t="s">
        <v>11</v>
      </c>
      <c r="F2317" s="6">
        <v>1</v>
      </c>
      <c r="G2317" s="6">
        <v>597</v>
      </c>
    </row>
    <row r="2318" s="2" customFormat="true" ht="22.5" customHeight="true" spans="1:7">
      <c r="A2318" s="6">
        <f>2316</f>
        <v>2316</v>
      </c>
      <c r="B2318" s="6" t="s">
        <v>2295</v>
      </c>
      <c r="C2318" s="6" t="s">
        <v>9</v>
      </c>
      <c r="D2318" s="6" t="s">
        <v>146</v>
      </c>
      <c r="E2318" s="6" t="s">
        <v>11</v>
      </c>
      <c r="F2318" s="6">
        <v>2</v>
      </c>
      <c r="G2318" s="6">
        <v>1027</v>
      </c>
    </row>
    <row r="2319" s="2" customFormat="true" ht="22.5" customHeight="true" spans="1:7">
      <c r="A2319" s="6">
        <f>2317</f>
        <v>2317</v>
      </c>
      <c r="B2319" s="6" t="s">
        <v>2296</v>
      </c>
      <c r="C2319" s="6" t="s">
        <v>9</v>
      </c>
      <c r="D2319" s="6" t="s">
        <v>185</v>
      </c>
      <c r="E2319" s="6" t="s">
        <v>17</v>
      </c>
      <c r="F2319" s="6">
        <v>1</v>
      </c>
      <c r="G2319" s="6">
        <v>690</v>
      </c>
    </row>
    <row r="2320" s="2" customFormat="true" ht="22.5" customHeight="true" spans="1:7">
      <c r="A2320" s="6">
        <f>2318</f>
        <v>2318</v>
      </c>
      <c r="B2320" s="6" t="s">
        <v>1213</v>
      </c>
      <c r="C2320" s="6" t="s">
        <v>15</v>
      </c>
      <c r="D2320" s="6" t="s">
        <v>131</v>
      </c>
      <c r="E2320" s="6" t="s">
        <v>17</v>
      </c>
      <c r="F2320" s="6">
        <v>1</v>
      </c>
      <c r="G2320" s="6">
        <v>627</v>
      </c>
    </row>
    <row r="2321" s="2" customFormat="true" ht="22.5" customHeight="true" spans="1:7">
      <c r="A2321" s="6">
        <f>2319</f>
        <v>2319</v>
      </c>
      <c r="B2321" s="6" t="s">
        <v>2297</v>
      </c>
      <c r="C2321" s="6" t="s">
        <v>9</v>
      </c>
      <c r="D2321" s="6" t="s">
        <v>136</v>
      </c>
      <c r="E2321" s="6" t="s">
        <v>11</v>
      </c>
      <c r="F2321" s="6">
        <v>1</v>
      </c>
      <c r="G2321" s="6">
        <v>594</v>
      </c>
    </row>
    <row r="2322" s="2" customFormat="true" ht="22.5" customHeight="true" spans="1:7">
      <c r="A2322" s="6">
        <f>2320</f>
        <v>2320</v>
      </c>
      <c r="B2322" s="6" t="s">
        <v>2298</v>
      </c>
      <c r="C2322" s="6" t="s">
        <v>9</v>
      </c>
      <c r="D2322" s="6" t="s">
        <v>149</v>
      </c>
      <c r="E2322" s="6" t="s">
        <v>17</v>
      </c>
      <c r="F2322" s="6">
        <v>2</v>
      </c>
      <c r="G2322" s="6">
        <v>800</v>
      </c>
    </row>
    <row r="2323" s="2" customFormat="true" ht="22.5" customHeight="true" spans="1:7">
      <c r="A2323" s="6">
        <f>2321</f>
        <v>2321</v>
      </c>
      <c r="B2323" s="6" t="s">
        <v>2299</v>
      </c>
      <c r="C2323" s="6" t="s">
        <v>9</v>
      </c>
      <c r="D2323" s="6" t="s">
        <v>117</v>
      </c>
      <c r="E2323" s="6" t="s">
        <v>17</v>
      </c>
      <c r="F2323" s="6">
        <v>1</v>
      </c>
      <c r="G2323" s="6">
        <v>656</v>
      </c>
    </row>
    <row r="2324" s="2" customFormat="true" ht="22.5" customHeight="true" spans="1:7">
      <c r="A2324" s="6">
        <f>2322</f>
        <v>2322</v>
      </c>
      <c r="B2324" s="6" t="s">
        <v>2300</v>
      </c>
      <c r="C2324" s="6" t="s">
        <v>9</v>
      </c>
      <c r="D2324" s="6" t="s">
        <v>192</v>
      </c>
      <c r="E2324" s="6" t="s">
        <v>17</v>
      </c>
      <c r="F2324" s="6">
        <v>2</v>
      </c>
      <c r="G2324" s="6">
        <v>1254</v>
      </c>
    </row>
    <row r="2325" s="2" customFormat="true" ht="22.5" customHeight="true" spans="1:7">
      <c r="A2325" s="6">
        <f>2323</f>
        <v>2323</v>
      </c>
      <c r="B2325" s="6" t="s">
        <v>2301</v>
      </c>
      <c r="C2325" s="6" t="s">
        <v>9</v>
      </c>
      <c r="D2325" s="6" t="s">
        <v>124</v>
      </c>
      <c r="E2325" s="6" t="s">
        <v>79</v>
      </c>
      <c r="F2325" s="6">
        <v>1</v>
      </c>
      <c r="G2325" s="6">
        <v>400</v>
      </c>
    </row>
    <row r="2326" s="2" customFormat="true" ht="22.5" customHeight="true" spans="1:7">
      <c r="A2326" s="6">
        <f>2324</f>
        <v>2324</v>
      </c>
      <c r="B2326" s="6" t="s">
        <v>2302</v>
      </c>
      <c r="C2326" s="6" t="s">
        <v>15</v>
      </c>
      <c r="D2326" s="6" t="s">
        <v>159</v>
      </c>
      <c r="E2326" s="6" t="s">
        <v>17</v>
      </c>
      <c r="F2326" s="6">
        <v>4</v>
      </c>
      <c r="G2326" s="6">
        <v>1929</v>
      </c>
    </row>
    <row r="2327" s="2" customFormat="true" ht="22.5" customHeight="true" spans="1:7">
      <c r="A2327" s="6">
        <f>2325</f>
        <v>2325</v>
      </c>
      <c r="B2327" s="6" t="s">
        <v>2303</v>
      </c>
      <c r="C2327" s="6" t="s">
        <v>15</v>
      </c>
      <c r="D2327" s="6" t="s">
        <v>129</v>
      </c>
      <c r="E2327" s="6" t="s">
        <v>17</v>
      </c>
      <c r="F2327" s="6">
        <v>2</v>
      </c>
      <c r="G2327" s="6">
        <v>1027</v>
      </c>
    </row>
    <row r="2328" s="2" customFormat="true" ht="22.5" customHeight="true" spans="1:7">
      <c r="A2328" s="6">
        <f>2326</f>
        <v>2326</v>
      </c>
      <c r="B2328" s="6" t="s">
        <v>2304</v>
      </c>
      <c r="C2328" s="6" t="s">
        <v>9</v>
      </c>
      <c r="D2328" s="6" t="s">
        <v>138</v>
      </c>
      <c r="E2328" s="6" t="s">
        <v>11</v>
      </c>
      <c r="F2328" s="6">
        <v>4</v>
      </c>
      <c r="G2328" s="6">
        <v>2156</v>
      </c>
    </row>
    <row r="2329" s="2" customFormat="true" ht="22.5" customHeight="true" spans="1:7">
      <c r="A2329" s="6">
        <f>2327</f>
        <v>2327</v>
      </c>
      <c r="B2329" s="6" t="s">
        <v>2305</v>
      </c>
      <c r="C2329" s="6" t="s">
        <v>15</v>
      </c>
      <c r="D2329" s="6" t="s">
        <v>164</v>
      </c>
      <c r="E2329" s="6" t="s">
        <v>17</v>
      </c>
      <c r="F2329" s="6">
        <v>3</v>
      </c>
      <c r="G2329" s="6">
        <v>1578</v>
      </c>
    </row>
    <row r="2330" s="2" customFormat="true" ht="22.5" customHeight="true" spans="1:7">
      <c r="A2330" s="6">
        <f>2328</f>
        <v>2328</v>
      </c>
      <c r="B2330" s="6" t="s">
        <v>2306</v>
      </c>
      <c r="C2330" s="6" t="s">
        <v>15</v>
      </c>
      <c r="D2330" s="6" t="s">
        <v>149</v>
      </c>
      <c r="E2330" s="6" t="s">
        <v>17</v>
      </c>
      <c r="F2330" s="6">
        <v>2</v>
      </c>
      <c r="G2330" s="6">
        <v>1027</v>
      </c>
    </row>
    <row r="2331" s="2" customFormat="true" ht="22.5" customHeight="true" spans="1:7">
      <c r="A2331" s="6">
        <f>2329</f>
        <v>2329</v>
      </c>
      <c r="B2331" s="6" t="s">
        <v>2307</v>
      </c>
      <c r="C2331" s="6" t="s">
        <v>9</v>
      </c>
      <c r="D2331" s="6" t="s">
        <v>104</v>
      </c>
      <c r="E2331" s="6" t="s">
        <v>17</v>
      </c>
      <c r="F2331" s="6">
        <v>1</v>
      </c>
      <c r="G2331" s="6">
        <v>690</v>
      </c>
    </row>
    <row r="2332" s="2" customFormat="true" ht="22.5" customHeight="true" spans="1:7">
      <c r="A2332" s="6">
        <f>2330</f>
        <v>2330</v>
      </c>
      <c r="B2332" s="6" t="s">
        <v>2308</v>
      </c>
      <c r="C2332" s="6" t="s">
        <v>9</v>
      </c>
      <c r="D2332" s="6" t="s">
        <v>416</v>
      </c>
      <c r="E2332" s="6" t="s">
        <v>17</v>
      </c>
      <c r="F2332" s="6">
        <v>1</v>
      </c>
      <c r="G2332" s="6">
        <v>551</v>
      </c>
    </row>
    <row r="2333" s="2" customFormat="true" ht="22.5" customHeight="true" spans="1:7">
      <c r="A2333" s="6">
        <f>2331</f>
        <v>2331</v>
      </c>
      <c r="B2333" s="6" t="s">
        <v>2309</v>
      </c>
      <c r="C2333" s="6" t="s">
        <v>9</v>
      </c>
      <c r="D2333" s="6" t="s">
        <v>270</v>
      </c>
      <c r="E2333" s="6" t="s">
        <v>17</v>
      </c>
      <c r="F2333" s="6">
        <v>1</v>
      </c>
      <c r="G2333" s="6">
        <v>627</v>
      </c>
    </row>
    <row r="2334" s="2" customFormat="true" ht="22.5" customHeight="true" spans="1:7">
      <c r="A2334" s="6">
        <f>2332</f>
        <v>2332</v>
      </c>
      <c r="B2334" s="6" t="s">
        <v>1904</v>
      </c>
      <c r="C2334" s="6" t="s">
        <v>15</v>
      </c>
      <c r="D2334" s="6" t="s">
        <v>136</v>
      </c>
      <c r="E2334" s="6" t="s">
        <v>17</v>
      </c>
      <c r="F2334" s="6">
        <v>3</v>
      </c>
      <c r="G2334" s="6">
        <v>1541</v>
      </c>
    </row>
    <row r="2335" s="2" customFormat="true" ht="22.5" customHeight="true" spans="1:7">
      <c r="A2335" s="6">
        <f>2333</f>
        <v>2333</v>
      </c>
      <c r="B2335" s="6" t="s">
        <v>2310</v>
      </c>
      <c r="C2335" s="6" t="s">
        <v>9</v>
      </c>
      <c r="D2335" s="6" t="s">
        <v>104</v>
      </c>
      <c r="E2335" s="6" t="s">
        <v>17</v>
      </c>
      <c r="F2335" s="6">
        <v>3</v>
      </c>
      <c r="G2335" s="6">
        <v>1974</v>
      </c>
    </row>
    <row r="2336" s="2" customFormat="true" ht="22.5" customHeight="true" spans="1:7">
      <c r="A2336" s="6">
        <f>2334</f>
        <v>2334</v>
      </c>
      <c r="B2336" s="6" t="s">
        <v>2311</v>
      </c>
      <c r="C2336" s="6" t="s">
        <v>9</v>
      </c>
      <c r="D2336" s="6" t="s">
        <v>180</v>
      </c>
      <c r="E2336" s="6" t="s">
        <v>17</v>
      </c>
      <c r="F2336" s="6">
        <v>2</v>
      </c>
      <c r="G2336" s="6">
        <v>1027</v>
      </c>
    </row>
    <row r="2337" s="2" customFormat="true" ht="22.5" customHeight="true" spans="1:7">
      <c r="A2337" s="6">
        <f>2335</f>
        <v>2335</v>
      </c>
      <c r="B2337" s="6" t="s">
        <v>2312</v>
      </c>
      <c r="C2337" s="6" t="s">
        <v>9</v>
      </c>
      <c r="D2337" s="6" t="s">
        <v>230</v>
      </c>
      <c r="E2337" s="6" t="s">
        <v>17</v>
      </c>
      <c r="F2337" s="6">
        <v>1</v>
      </c>
      <c r="G2337" s="6">
        <v>656</v>
      </c>
    </row>
    <row r="2338" s="2" customFormat="true" ht="22.5" customHeight="true" spans="1:7">
      <c r="A2338" s="6">
        <f>2336</f>
        <v>2336</v>
      </c>
      <c r="B2338" s="6" t="s">
        <v>2313</v>
      </c>
      <c r="C2338" s="6" t="s">
        <v>9</v>
      </c>
      <c r="D2338" s="6" t="s">
        <v>138</v>
      </c>
      <c r="E2338" s="6" t="s">
        <v>11</v>
      </c>
      <c r="F2338" s="6">
        <v>3</v>
      </c>
      <c r="G2338" s="6">
        <v>1559</v>
      </c>
    </row>
    <row r="2339" s="2" customFormat="true" ht="22.5" customHeight="true" spans="1:7">
      <c r="A2339" s="6">
        <f>2337</f>
        <v>2337</v>
      </c>
      <c r="B2339" s="6" t="s">
        <v>2314</v>
      </c>
      <c r="C2339" s="6" t="s">
        <v>15</v>
      </c>
      <c r="D2339" s="6" t="s">
        <v>129</v>
      </c>
      <c r="E2339" s="6" t="s">
        <v>17</v>
      </c>
      <c r="F2339" s="6">
        <v>2</v>
      </c>
      <c r="G2339" s="6">
        <v>1027</v>
      </c>
    </row>
    <row r="2340" s="2" customFormat="true" ht="22.5" customHeight="true" spans="1:7">
      <c r="A2340" s="6">
        <f>2338</f>
        <v>2338</v>
      </c>
      <c r="B2340" s="6" t="s">
        <v>2315</v>
      </c>
      <c r="C2340" s="6" t="s">
        <v>9</v>
      </c>
      <c r="D2340" s="6" t="s">
        <v>67</v>
      </c>
      <c r="E2340" s="6" t="s">
        <v>17</v>
      </c>
      <c r="F2340" s="6">
        <v>1</v>
      </c>
      <c r="G2340" s="6">
        <v>706</v>
      </c>
    </row>
    <row r="2341" s="2" customFormat="true" ht="22.5" customHeight="true" spans="1:7">
      <c r="A2341" s="6">
        <f>2339</f>
        <v>2339</v>
      </c>
      <c r="B2341" s="6" t="s">
        <v>2316</v>
      </c>
      <c r="C2341" s="6" t="s">
        <v>9</v>
      </c>
      <c r="D2341" s="6" t="s">
        <v>16</v>
      </c>
      <c r="E2341" s="6" t="s">
        <v>17</v>
      </c>
      <c r="F2341" s="6">
        <v>2</v>
      </c>
      <c r="G2341" s="6">
        <v>1103</v>
      </c>
    </row>
    <row r="2342" s="2" customFormat="true" ht="22.5" customHeight="true" spans="1:7">
      <c r="A2342" s="6">
        <f>2340</f>
        <v>2340</v>
      </c>
      <c r="B2342" s="6" t="s">
        <v>2317</v>
      </c>
      <c r="C2342" s="6" t="s">
        <v>15</v>
      </c>
      <c r="D2342" s="6" t="s">
        <v>13</v>
      </c>
      <c r="E2342" s="6" t="s">
        <v>17</v>
      </c>
      <c r="F2342" s="6">
        <v>1</v>
      </c>
      <c r="G2342" s="6">
        <v>706</v>
      </c>
    </row>
    <row r="2343" s="2" customFormat="true" ht="22.5" customHeight="true" spans="1:7">
      <c r="A2343" s="6">
        <f>2341</f>
        <v>2341</v>
      </c>
      <c r="B2343" s="6" t="s">
        <v>2318</v>
      </c>
      <c r="C2343" s="6" t="s">
        <v>15</v>
      </c>
      <c r="D2343" s="6" t="s">
        <v>129</v>
      </c>
      <c r="E2343" s="6" t="s">
        <v>17</v>
      </c>
      <c r="F2343" s="6">
        <v>2</v>
      </c>
      <c r="G2343" s="6">
        <v>1027</v>
      </c>
    </row>
    <row r="2344" s="2" customFormat="true" ht="22.5" customHeight="true" spans="1:7">
      <c r="A2344" s="6">
        <f>2342</f>
        <v>2342</v>
      </c>
      <c r="B2344" s="6" t="s">
        <v>2319</v>
      </c>
      <c r="C2344" s="6" t="s">
        <v>9</v>
      </c>
      <c r="D2344" s="6" t="s">
        <v>133</v>
      </c>
      <c r="E2344" s="6" t="s">
        <v>17</v>
      </c>
      <c r="F2344" s="6">
        <v>2</v>
      </c>
      <c r="G2344" s="6">
        <v>1027</v>
      </c>
    </row>
    <row r="2345" s="2" customFormat="true" ht="22.5" customHeight="true" spans="1:7">
      <c r="A2345" s="6">
        <f>2343</f>
        <v>2343</v>
      </c>
      <c r="B2345" s="6" t="s">
        <v>2320</v>
      </c>
      <c r="C2345" s="6" t="s">
        <v>9</v>
      </c>
      <c r="D2345" s="6" t="s">
        <v>209</v>
      </c>
      <c r="E2345" s="6" t="s">
        <v>17</v>
      </c>
      <c r="F2345" s="6">
        <v>3</v>
      </c>
      <c r="G2345" s="6">
        <v>1784</v>
      </c>
    </row>
    <row r="2346" s="2" customFormat="true" ht="22.5" customHeight="true" spans="1:7">
      <c r="A2346" s="6">
        <f>2344</f>
        <v>2344</v>
      </c>
      <c r="B2346" s="6" t="s">
        <v>2321</v>
      </c>
      <c r="C2346" s="6" t="s">
        <v>9</v>
      </c>
      <c r="D2346" s="6" t="s">
        <v>122</v>
      </c>
      <c r="E2346" s="6" t="s">
        <v>11</v>
      </c>
      <c r="F2346" s="6">
        <v>1</v>
      </c>
      <c r="G2346" s="6">
        <v>400</v>
      </c>
    </row>
    <row r="2347" s="2" customFormat="true" ht="22.5" customHeight="true" spans="1:7">
      <c r="A2347" s="6">
        <f>2345</f>
        <v>2345</v>
      </c>
      <c r="B2347" s="6" t="s">
        <v>2322</v>
      </c>
      <c r="C2347" s="6" t="s">
        <v>9</v>
      </c>
      <c r="D2347" s="6" t="s">
        <v>161</v>
      </c>
      <c r="E2347" s="6" t="s">
        <v>17</v>
      </c>
      <c r="F2347" s="6">
        <v>4</v>
      </c>
      <c r="G2347" s="6">
        <v>2129</v>
      </c>
    </row>
    <row r="2348" s="2" customFormat="true" ht="22.5" customHeight="true" spans="1:7">
      <c r="A2348" s="6">
        <f>2346</f>
        <v>2346</v>
      </c>
      <c r="B2348" s="6" t="s">
        <v>2323</v>
      </c>
      <c r="C2348" s="6" t="s">
        <v>9</v>
      </c>
      <c r="D2348" s="6" t="s">
        <v>185</v>
      </c>
      <c r="E2348" s="6" t="s">
        <v>17</v>
      </c>
      <c r="F2348" s="6">
        <v>1</v>
      </c>
      <c r="G2348" s="6">
        <v>690</v>
      </c>
    </row>
    <row r="2349" s="2" customFormat="true" ht="22.5" customHeight="true" spans="1:7">
      <c r="A2349" s="6">
        <f>2347</f>
        <v>2347</v>
      </c>
      <c r="B2349" s="6" t="s">
        <v>2324</v>
      </c>
      <c r="C2349" s="6" t="s">
        <v>15</v>
      </c>
      <c r="D2349" s="6" t="s">
        <v>131</v>
      </c>
      <c r="E2349" s="6" t="s">
        <v>17</v>
      </c>
      <c r="F2349" s="6">
        <v>2</v>
      </c>
      <c r="G2349" s="6">
        <v>1027</v>
      </c>
    </row>
    <row r="2350" s="2" customFormat="true" ht="22.5" customHeight="true" spans="1:7">
      <c r="A2350" s="6">
        <f>2348</f>
        <v>2348</v>
      </c>
      <c r="B2350" s="6" t="s">
        <v>2325</v>
      </c>
      <c r="C2350" s="6" t="s">
        <v>15</v>
      </c>
      <c r="D2350" s="6" t="s">
        <v>185</v>
      </c>
      <c r="E2350" s="6" t="s">
        <v>79</v>
      </c>
      <c r="F2350" s="6">
        <v>2</v>
      </c>
      <c r="G2350" s="6">
        <v>826</v>
      </c>
    </row>
    <row r="2351" s="2" customFormat="true" ht="22.5" customHeight="true" spans="1:7">
      <c r="A2351" s="6">
        <f>2349</f>
        <v>2349</v>
      </c>
      <c r="B2351" s="6" t="s">
        <v>2326</v>
      </c>
      <c r="C2351" s="6" t="s">
        <v>15</v>
      </c>
      <c r="D2351" s="6" t="s">
        <v>182</v>
      </c>
      <c r="E2351" s="6" t="s">
        <v>17</v>
      </c>
      <c r="F2351" s="6">
        <v>1</v>
      </c>
      <c r="G2351" s="6">
        <v>690</v>
      </c>
    </row>
    <row r="2352" s="2" customFormat="true" ht="22.5" customHeight="true" spans="1:7">
      <c r="A2352" s="6">
        <f>2350</f>
        <v>2350</v>
      </c>
      <c r="B2352" s="6" t="s">
        <v>2327</v>
      </c>
      <c r="C2352" s="6" t="s">
        <v>9</v>
      </c>
      <c r="D2352" s="6" t="s">
        <v>133</v>
      </c>
      <c r="E2352" s="6" t="s">
        <v>17</v>
      </c>
      <c r="F2352" s="6">
        <v>1</v>
      </c>
      <c r="G2352" s="6">
        <v>627</v>
      </c>
    </row>
    <row r="2353" s="2" customFormat="true" ht="22.5" customHeight="true" spans="1:7">
      <c r="A2353" s="6">
        <f>2351</f>
        <v>2351</v>
      </c>
      <c r="B2353" s="6" t="s">
        <v>2328</v>
      </c>
      <c r="C2353" s="6" t="s">
        <v>9</v>
      </c>
      <c r="D2353" s="6" t="s">
        <v>192</v>
      </c>
      <c r="E2353" s="6" t="s">
        <v>17</v>
      </c>
      <c r="F2353" s="6">
        <v>1</v>
      </c>
      <c r="G2353" s="6">
        <v>690</v>
      </c>
    </row>
    <row r="2354" s="2" customFormat="true" ht="22.5" customHeight="true" spans="1:7">
      <c r="A2354" s="6">
        <f>2352</f>
        <v>2352</v>
      </c>
      <c r="B2354" s="6" t="s">
        <v>2329</v>
      </c>
      <c r="C2354" s="6" t="s">
        <v>9</v>
      </c>
      <c r="D2354" s="6" t="s">
        <v>133</v>
      </c>
      <c r="E2354" s="6" t="s">
        <v>17</v>
      </c>
      <c r="F2354" s="6">
        <v>1</v>
      </c>
      <c r="G2354" s="6">
        <v>627</v>
      </c>
    </row>
    <row r="2355" s="2" customFormat="true" ht="22.5" customHeight="true" spans="1:7">
      <c r="A2355" s="6">
        <f>2353</f>
        <v>2353</v>
      </c>
      <c r="B2355" s="6" t="s">
        <v>2330</v>
      </c>
      <c r="C2355" s="6" t="s">
        <v>9</v>
      </c>
      <c r="D2355" s="6" t="s">
        <v>129</v>
      </c>
      <c r="E2355" s="6" t="s">
        <v>17</v>
      </c>
      <c r="F2355" s="6">
        <v>3</v>
      </c>
      <c r="G2355" s="6">
        <v>1729</v>
      </c>
    </row>
    <row r="2356" s="2" customFormat="true" ht="22.5" customHeight="true" spans="1:7">
      <c r="A2356" s="6">
        <f>2354</f>
        <v>2354</v>
      </c>
      <c r="B2356" s="6" t="s">
        <v>2331</v>
      </c>
      <c r="C2356" s="6" t="s">
        <v>9</v>
      </c>
      <c r="D2356" s="6" t="s">
        <v>124</v>
      </c>
      <c r="E2356" s="6" t="s">
        <v>11</v>
      </c>
      <c r="F2356" s="6">
        <v>3</v>
      </c>
      <c r="G2356" s="6">
        <v>1502</v>
      </c>
    </row>
    <row r="2357" s="2" customFormat="true" ht="22.5" customHeight="true" spans="1:7">
      <c r="A2357" s="6">
        <f>2355</f>
        <v>2355</v>
      </c>
      <c r="B2357" s="6" t="s">
        <v>2332</v>
      </c>
      <c r="C2357" s="6" t="s">
        <v>15</v>
      </c>
      <c r="D2357" s="6" t="s">
        <v>122</v>
      </c>
      <c r="E2357" s="6" t="s">
        <v>17</v>
      </c>
      <c r="F2357" s="6">
        <v>2</v>
      </c>
      <c r="G2357" s="6">
        <v>1178</v>
      </c>
    </row>
    <row r="2358" s="2" customFormat="true" ht="22.5" customHeight="true" spans="1:7">
      <c r="A2358" s="6">
        <f>2356</f>
        <v>2356</v>
      </c>
      <c r="B2358" s="6" t="s">
        <v>2333</v>
      </c>
      <c r="C2358" s="6" t="s">
        <v>9</v>
      </c>
      <c r="D2358" s="6" t="s">
        <v>161</v>
      </c>
      <c r="E2358" s="6" t="s">
        <v>17</v>
      </c>
      <c r="F2358" s="6">
        <v>1</v>
      </c>
      <c r="G2358" s="6">
        <v>627</v>
      </c>
    </row>
    <row r="2359" s="2" customFormat="true" ht="22.5" customHeight="true" spans="1:7">
      <c r="A2359" s="6">
        <f>2357</f>
        <v>2357</v>
      </c>
      <c r="B2359" s="6" t="s">
        <v>2334</v>
      </c>
      <c r="C2359" s="6" t="s">
        <v>9</v>
      </c>
      <c r="D2359" s="6" t="s">
        <v>159</v>
      </c>
      <c r="E2359" s="6" t="s">
        <v>17</v>
      </c>
      <c r="F2359" s="6">
        <v>1</v>
      </c>
      <c r="G2359" s="6">
        <v>627</v>
      </c>
    </row>
    <row r="2360" s="2" customFormat="true" ht="22.5" customHeight="true" spans="1:7">
      <c r="A2360" s="6">
        <f>2358</f>
        <v>2358</v>
      </c>
      <c r="B2360" s="6" t="s">
        <v>2335</v>
      </c>
      <c r="C2360" s="6" t="s">
        <v>9</v>
      </c>
      <c r="D2360" s="6" t="s">
        <v>117</v>
      </c>
      <c r="E2360" s="6" t="s">
        <v>17</v>
      </c>
      <c r="F2360" s="6">
        <v>2</v>
      </c>
      <c r="G2360" s="6">
        <v>1237</v>
      </c>
    </row>
    <row r="2361" s="2" customFormat="true" ht="22.5" customHeight="true" spans="1:7">
      <c r="A2361" s="6">
        <f>2359</f>
        <v>2359</v>
      </c>
      <c r="B2361" s="6" t="s">
        <v>2336</v>
      </c>
      <c r="C2361" s="6" t="s">
        <v>9</v>
      </c>
      <c r="D2361" s="6" t="s">
        <v>161</v>
      </c>
      <c r="E2361" s="6" t="s">
        <v>17</v>
      </c>
      <c r="F2361" s="6">
        <v>2</v>
      </c>
      <c r="G2361" s="6">
        <v>1178</v>
      </c>
    </row>
    <row r="2362" s="2" customFormat="true" ht="22.5" customHeight="true" spans="1:7">
      <c r="A2362" s="6">
        <f>2360</f>
        <v>2360</v>
      </c>
      <c r="B2362" s="6" t="s">
        <v>2337</v>
      </c>
      <c r="C2362" s="6" t="s">
        <v>9</v>
      </c>
      <c r="D2362" s="6" t="s">
        <v>129</v>
      </c>
      <c r="E2362" s="6" t="s">
        <v>11</v>
      </c>
      <c r="F2362" s="6">
        <v>2</v>
      </c>
      <c r="G2362" s="6">
        <v>1102</v>
      </c>
    </row>
    <row r="2363" s="2" customFormat="true" ht="22.5" customHeight="true" spans="1:7">
      <c r="A2363" s="6">
        <f>2361</f>
        <v>2361</v>
      </c>
      <c r="B2363" s="6" t="s">
        <v>2338</v>
      </c>
      <c r="C2363" s="6" t="s">
        <v>9</v>
      </c>
      <c r="D2363" s="6" t="s">
        <v>161</v>
      </c>
      <c r="E2363" s="6" t="s">
        <v>17</v>
      </c>
      <c r="F2363" s="6">
        <v>2</v>
      </c>
      <c r="G2363" s="6">
        <v>1178</v>
      </c>
    </row>
    <row r="2364" s="2" customFormat="true" ht="22.5" customHeight="true" spans="1:7">
      <c r="A2364" s="6">
        <f>2362</f>
        <v>2362</v>
      </c>
      <c r="B2364" s="6" t="s">
        <v>1658</v>
      </c>
      <c r="C2364" s="6" t="s">
        <v>9</v>
      </c>
      <c r="D2364" s="6" t="s">
        <v>161</v>
      </c>
      <c r="E2364" s="6" t="s">
        <v>17</v>
      </c>
      <c r="F2364" s="6">
        <v>2</v>
      </c>
      <c r="G2364" s="6">
        <v>1178</v>
      </c>
    </row>
    <row r="2365" s="2" customFormat="true" ht="22.5" customHeight="true" spans="1:7">
      <c r="A2365" s="6">
        <f>2363</f>
        <v>2363</v>
      </c>
      <c r="B2365" s="6" t="s">
        <v>2339</v>
      </c>
      <c r="C2365" s="6" t="s">
        <v>9</v>
      </c>
      <c r="D2365" s="6" t="s">
        <v>13</v>
      </c>
      <c r="E2365" s="6" t="s">
        <v>11</v>
      </c>
      <c r="F2365" s="6">
        <v>1</v>
      </c>
      <c r="G2365" s="6">
        <v>580</v>
      </c>
    </row>
    <row r="2366" s="2" customFormat="true" ht="22.5" customHeight="true" spans="1:7">
      <c r="A2366" s="6">
        <f>2364</f>
        <v>2364</v>
      </c>
      <c r="B2366" s="6" t="s">
        <v>2340</v>
      </c>
      <c r="C2366" s="6" t="s">
        <v>15</v>
      </c>
      <c r="D2366" s="6" t="s">
        <v>19</v>
      </c>
      <c r="E2366" s="6" t="s">
        <v>17</v>
      </c>
      <c r="F2366" s="6">
        <v>1</v>
      </c>
      <c r="G2366" s="6">
        <v>650</v>
      </c>
    </row>
    <row r="2367" s="2" customFormat="true" ht="22.5" customHeight="true" spans="1:7">
      <c r="A2367" s="6">
        <f>2365</f>
        <v>2365</v>
      </c>
      <c r="B2367" s="6" t="s">
        <v>2341</v>
      </c>
      <c r="C2367" s="6" t="s">
        <v>9</v>
      </c>
      <c r="D2367" s="6" t="s">
        <v>10</v>
      </c>
      <c r="E2367" s="6" t="s">
        <v>79</v>
      </c>
      <c r="F2367" s="6">
        <v>1</v>
      </c>
      <c r="G2367" s="6">
        <v>500</v>
      </c>
    </row>
    <row r="2368" s="2" customFormat="true" ht="22.5" customHeight="true" spans="1:7">
      <c r="A2368" s="6">
        <f>2366</f>
        <v>2366</v>
      </c>
      <c r="B2368" s="6" t="s">
        <v>2342</v>
      </c>
      <c r="C2368" s="6" t="s">
        <v>15</v>
      </c>
      <c r="D2368" s="6" t="s">
        <v>129</v>
      </c>
      <c r="E2368" s="6" t="s">
        <v>11</v>
      </c>
      <c r="F2368" s="6">
        <v>2</v>
      </c>
      <c r="G2368" s="6">
        <v>1102</v>
      </c>
    </row>
    <row r="2369" s="2" customFormat="true" ht="22.5" customHeight="true" spans="1:7">
      <c r="A2369" s="6">
        <f>2367</f>
        <v>2367</v>
      </c>
      <c r="B2369" s="6" t="s">
        <v>2343</v>
      </c>
      <c r="C2369" s="6" t="s">
        <v>9</v>
      </c>
      <c r="D2369" s="6" t="s">
        <v>131</v>
      </c>
      <c r="E2369" s="6" t="s">
        <v>17</v>
      </c>
      <c r="F2369" s="6">
        <v>1</v>
      </c>
      <c r="G2369" s="6">
        <v>627</v>
      </c>
    </row>
    <row r="2370" s="2" customFormat="true" ht="22.5" customHeight="true" spans="1:7">
      <c r="A2370" s="6">
        <f>2368</f>
        <v>2368</v>
      </c>
      <c r="B2370" s="6" t="s">
        <v>2344</v>
      </c>
      <c r="C2370" s="6" t="s">
        <v>9</v>
      </c>
      <c r="D2370" s="6" t="s">
        <v>129</v>
      </c>
      <c r="E2370" s="6" t="s">
        <v>17</v>
      </c>
      <c r="F2370" s="6">
        <v>2</v>
      </c>
      <c r="G2370" s="6">
        <v>1178</v>
      </c>
    </row>
    <row r="2371" s="2" customFormat="true" ht="22.5" customHeight="true" spans="1:7">
      <c r="A2371" s="6">
        <f>2369</f>
        <v>2369</v>
      </c>
      <c r="B2371" s="6" t="s">
        <v>2345</v>
      </c>
      <c r="C2371" s="6" t="s">
        <v>9</v>
      </c>
      <c r="D2371" s="6" t="s">
        <v>49</v>
      </c>
      <c r="E2371" s="6" t="s">
        <v>17</v>
      </c>
      <c r="F2371" s="6">
        <v>1</v>
      </c>
      <c r="G2371" s="6">
        <v>650</v>
      </c>
    </row>
    <row r="2372" s="2" customFormat="true" ht="22.5" customHeight="true" spans="1:7">
      <c r="A2372" s="6">
        <f>2370</f>
        <v>2370</v>
      </c>
      <c r="B2372" s="6" t="s">
        <v>2346</v>
      </c>
      <c r="C2372" s="6" t="s">
        <v>9</v>
      </c>
      <c r="D2372" s="6" t="s">
        <v>180</v>
      </c>
      <c r="E2372" s="6" t="s">
        <v>17</v>
      </c>
      <c r="F2372" s="6">
        <v>2</v>
      </c>
      <c r="G2372" s="6">
        <v>1178</v>
      </c>
    </row>
    <row r="2373" s="2" customFormat="true" ht="22.5" customHeight="true" spans="1:7">
      <c r="A2373" s="6">
        <f>2371</f>
        <v>2371</v>
      </c>
      <c r="B2373" s="6" t="s">
        <v>2347</v>
      </c>
      <c r="C2373" s="6" t="s">
        <v>9</v>
      </c>
      <c r="D2373" s="6" t="s">
        <v>138</v>
      </c>
      <c r="E2373" s="6" t="s">
        <v>11</v>
      </c>
      <c r="F2373" s="6">
        <v>1</v>
      </c>
      <c r="G2373" s="6">
        <v>550</v>
      </c>
    </row>
    <row r="2374" s="2" customFormat="true" ht="22.5" customHeight="true" spans="1:7">
      <c r="A2374" s="6">
        <f>2372</f>
        <v>2372</v>
      </c>
      <c r="B2374" s="6" t="s">
        <v>2348</v>
      </c>
      <c r="C2374" s="6" t="s">
        <v>9</v>
      </c>
      <c r="D2374" s="6" t="s">
        <v>13</v>
      </c>
      <c r="E2374" s="6" t="s">
        <v>17</v>
      </c>
      <c r="F2374" s="6">
        <v>1</v>
      </c>
      <c r="G2374" s="6">
        <v>700</v>
      </c>
    </row>
    <row r="2375" s="2" customFormat="true" ht="22.5" customHeight="true" spans="1:7">
      <c r="A2375" s="6">
        <f>2373</f>
        <v>2373</v>
      </c>
      <c r="B2375" s="6" t="s">
        <v>2349</v>
      </c>
      <c r="C2375" s="6" t="s">
        <v>9</v>
      </c>
      <c r="D2375" s="6" t="s">
        <v>209</v>
      </c>
      <c r="E2375" s="6" t="s">
        <v>17</v>
      </c>
      <c r="F2375" s="6">
        <v>1</v>
      </c>
      <c r="G2375" s="6">
        <v>650</v>
      </c>
    </row>
    <row r="2376" s="2" customFormat="true" ht="22.5" customHeight="true" spans="1:7">
      <c r="A2376" s="6">
        <f>2374</f>
        <v>2374</v>
      </c>
      <c r="B2376" s="6" t="s">
        <v>2350</v>
      </c>
      <c r="C2376" s="6" t="s">
        <v>9</v>
      </c>
      <c r="D2376" s="6" t="s">
        <v>239</v>
      </c>
      <c r="E2376" s="6" t="s">
        <v>17</v>
      </c>
      <c r="F2376" s="6">
        <v>2</v>
      </c>
      <c r="G2376" s="6">
        <v>1027</v>
      </c>
    </row>
    <row r="2377" s="2" customFormat="true" ht="22.5" customHeight="true" spans="1:7">
      <c r="A2377" s="6">
        <f>2375</f>
        <v>2375</v>
      </c>
      <c r="B2377" s="6" t="s">
        <v>2351</v>
      </c>
      <c r="C2377" s="6" t="s">
        <v>15</v>
      </c>
      <c r="D2377" s="6" t="s">
        <v>209</v>
      </c>
      <c r="E2377" s="6" t="s">
        <v>17</v>
      </c>
      <c r="F2377" s="6">
        <v>1</v>
      </c>
      <c r="G2377" s="6">
        <v>650</v>
      </c>
    </row>
    <row r="2378" s="2" customFormat="true" ht="22.5" customHeight="true" spans="1:7">
      <c r="A2378" s="6">
        <f>2376</f>
        <v>2376</v>
      </c>
      <c r="B2378" s="6" t="s">
        <v>2352</v>
      </c>
      <c r="C2378" s="6" t="s">
        <v>9</v>
      </c>
      <c r="D2378" s="6" t="s">
        <v>202</v>
      </c>
      <c r="E2378" s="6" t="s">
        <v>17</v>
      </c>
      <c r="F2378" s="6">
        <v>1</v>
      </c>
      <c r="G2378" s="6">
        <v>650</v>
      </c>
    </row>
    <row r="2379" s="2" customFormat="true" ht="22.5" customHeight="true" spans="1:7">
      <c r="A2379" s="6">
        <f>2377</f>
        <v>2377</v>
      </c>
      <c r="B2379" s="6" t="s">
        <v>2353</v>
      </c>
      <c r="C2379" s="6" t="s">
        <v>9</v>
      </c>
      <c r="D2379" s="6" t="s">
        <v>136</v>
      </c>
      <c r="E2379" s="6" t="s">
        <v>17</v>
      </c>
      <c r="F2379" s="6">
        <v>1</v>
      </c>
      <c r="G2379" s="6">
        <v>690</v>
      </c>
    </row>
    <row r="2380" s="2" customFormat="true" ht="22.5" customHeight="true" spans="1:7">
      <c r="A2380" s="6">
        <f>2378</f>
        <v>2378</v>
      </c>
      <c r="B2380" s="6" t="s">
        <v>2354</v>
      </c>
      <c r="C2380" s="6" t="s">
        <v>15</v>
      </c>
      <c r="D2380" s="6" t="s">
        <v>133</v>
      </c>
      <c r="E2380" s="6" t="s">
        <v>11</v>
      </c>
      <c r="F2380" s="6">
        <v>3</v>
      </c>
      <c r="G2380" s="6">
        <v>1502</v>
      </c>
    </row>
    <row r="2381" s="2" customFormat="true" ht="22.5" customHeight="true" spans="1:7">
      <c r="A2381" s="6">
        <f>2379</f>
        <v>2379</v>
      </c>
      <c r="B2381" s="6" t="s">
        <v>2355</v>
      </c>
      <c r="C2381" s="6" t="s">
        <v>15</v>
      </c>
      <c r="D2381" s="6" t="s">
        <v>192</v>
      </c>
      <c r="E2381" s="6" t="s">
        <v>17</v>
      </c>
      <c r="F2381" s="6">
        <v>2</v>
      </c>
      <c r="G2381" s="6">
        <v>1284</v>
      </c>
    </row>
    <row r="2382" s="2" customFormat="true" ht="22.5" customHeight="true" spans="1:7">
      <c r="A2382" s="6">
        <f>2380</f>
        <v>2380</v>
      </c>
      <c r="B2382" s="6" t="s">
        <v>2356</v>
      </c>
      <c r="C2382" s="6" t="s">
        <v>9</v>
      </c>
      <c r="D2382" s="6" t="s">
        <v>19</v>
      </c>
      <c r="E2382" s="6" t="s">
        <v>17</v>
      </c>
      <c r="F2382" s="6">
        <v>1</v>
      </c>
      <c r="G2382" s="6">
        <v>680</v>
      </c>
    </row>
    <row r="2383" s="2" customFormat="true" ht="22.5" customHeight="true" spans="1:7">
      <c r="A2383" s="6">
        <f>2381</f>
        <v>2381</v>
      </c>
      <c r="B2383" s="6" t="s">
        <v>2357</v>
      </c>
      <c r="C2383" s="6" t="s">
        <v>9</v>
      </c>
      <c r="D2383" s="6" t="s">
        <v>35</v>
      </c>
      <c r="E2383" s="6" t="s">
        <v>17</v>
      </c>
      <c r="F2383" s="6">
        <v>1</v>
      </c>
      <c r="G2383" s="6">
        <v>690</v>
      </c>
    </row>
    <row r="2384" s="2" customFormat="true" ht="22.5" customHeight="true" spans="1:7">
      <c r="A2384" s="6">
        <f>2382</f>
        <v>2382</v>
      </c>
      <c r="B2384" s="6" t="s">
        <v>2358</v>
      </c>
      <c r="C2384" s="6" t="s">
        <v>9</v>
      </c>
      <c r="D2384" s="6" t="s">
        <v>180</v>
      </c>
      <c r="E2384" s="6" t="s">
        <v>17</v>
      </c>
      <c r="F2384" s="6">
        <v>2</v>
      </c>
      <c r="G2384" s="6">
        <v>1178</v>
      </c>
    </row>
    <row r="2385" s="2" customFormat="true" ht="22.5" customHeight="true" spans="1:7">
      <c r="A2385" s="6">
        <f>2383</f>
        <v>2383</v>
      </c>
      <c r="B2385" s="6" t="s">
        <v>2359</v>
      </c>
      <c r="C2385" s="6" t="s">
        <v>9</v>
      </c>
      <c r="D2385" s="6" t="s">
        <v>202</v>
      </c>
      <c r="E2385" s="6" t="s">
        <v>17</v>
      </c>
      <c r="F2385" s="6">
        <v>1</v>
      </c>
      <c r="G2385" s="6">
        <v>700</v>
      </c>
    </row>
    <row r="2386" s="2" customFormat="true" ht="22.5" customHeight="true" spans="1:7">
      <c r="A2386" s="6">
        <f>2384</f>
        <v>2384</v>
      </c>
      <c r="B2386" s="6" t="s">
        <v>2360</v>
      </c>
      <c r="C2386" s="6" t="s">
        <v>9</v>
      </c>
      <c r="D2386" s="6" t="s">
        <v>202</v>
      </c>
      <c r="E2386" s="6" t="s">
        <v>17</v>
      </c>
      <c r="F2386" s="6">
        <v>5</v>
      </c>
      <c r="G2386" s="6">
        <v>3030</v>
      </c>
    </row>
    <row r="2387" s="2" customFormat="true" ht="22.5" customHeight="true" spans="1:7">
      <c r="A2387" s="6">
        <f>2385</f>
        <v>2385</v>
      </c>
      <c r="B2387" s="6" t="s">
        <v>2361</v>
      </c>
      <c r="C2387" s="6" t="s">
        <v>9</v>
      </c>
      <c r="D2387" s="6" t="s">
        <v>122</v>
      </c>
      <c r="E2387" s="6" t="s">
        <v>17</v>
      </c>
      <c r="F2387" s="6">
        <v>2</v>
      </c>
      <c r="G2387" s="6">
        <v>1178</v>
      </c>
    </row>
    <row r="2388" s="2" customFormat="true" ht="22.5" customHeight="true" spans="1:7">
      <c r="A2388" s="6">
        <f>2386</f>
        <v>2386</v>
      </c>
      <c r="B2388" s="6" t="s">
        <v>2362</v>
      </c>
      <c r="C2388" s="6" t="s">
        <v>15</v>
      </c>
      <c r="D2388" s="6" t="s">
        <v>49</v>
      </c>
      <c r="E2388" s="6" t="s">
        <v>17</v>
      </c>
      <c r="F2388" s="6">
        <v>1</v>
      </c>
      <c r="G2388" s="6">
        <v>680</v>
      </c>
    </row>
    <row r="2389" s="2" customFormat="true" ht="22.5" customHeight="true" spans="1:7">
      <c r="A2389" s="6">
        <f>2387</f>
        <v>2387</v>
      </c>
      <c r="B2389" s="6" t="s">
        <v>2363</v>
      </c>
      <c r="C2389" s="6" t="s">
        <v>9</v>
      </c>
      <c r="D2389" s="6" t="s">
        <v>129</v>
      </c>
      <c r="E2389" s="6" t="s">
        <v>17</v>
      </c>
      <c r="F2389" s="6">
        <v>1</v>
      </c>
      <c r="G2389" s="6">
        <v>627</v>
      </c>
    </row>
    <row r="2390" s="2" customFormat="true" ht="22.5" customHeight="true" spans="1:7">
      <c r="A2390" s="6">
        <f>2388</f>
        <v>2388</v>
      </c>
      <c r="B2390" s="6" t="s">
        <v>2364</v>
      </c>
      <c r="C2390" s="6" t="s">
        <v>15</v>
      </c>
      <c r="D2390" s="6" t="s">
        <v>149</v>
      </c>
      <c r="E2390" s="6" t="s">
        <v>17</v>
      </c>
      <c r="F2390" s="6">
        <v>1</v>
      </c>
      <c r="G2390" s="6">
        <v>551</v>
      </c>
    </row>
    <row r="2391" s="2" customFormat="true" ht="22.5" customHeight="true" spans="1:7">
      <c r="A2391" s="6">
        <f>2389</f>
        <v>2389</v>
      </c>
      <c r="B2391" s="6" t="s">
        <v>2365</v>
      </c>
      <c r="C2391" s="6" t="s">
        <v>15</v>
      </c>
      <c r="D2391" s="6" t="s">
        <v>416</v>
      </c>
      <c r="E2391" s="6" t="s">
        <v>11</v>
      </c>
      <c r="F2391" s="6">
        <v>1</v>
      </c>
      <c r="G2391" s="6">
        <v>551</v>
      </c>
    </row>
    <row r="2392" s="2" customFormat="true" ht="22.5" customHeight="true" spans="1:7">
      <c r="A2392" s="6">
        <f>2390</f>
        <v>2390</v>
      </c>
      <c r="B2392" s="6" t="s">
        <v>1925</v>
      </c>
      <c r="C2392" s="6" t="s">
        <v>15</v>
      </c>
      <c r="D2392" s="6" t="s">
        <v>270</v>
      </c>
      <c r="E2392" s="6" t="s">
        <v>17</v>
      </c>
      <c r="F2392" s="6">
        <v>2</v>
      </c>
      <c r="G2392" s="6">
        <v>1178</v>
      </c>
    </row>
    <row r="2393" s="2" customFormat="true" ht="22.5" customHeight="true" spans="1:7">
      <c r="A2393" s="6">
        <f>2391</f>
        <v>2391</v>
      </c>
      <c r="B2393" s="6" t="s">
        <v>2366</v>
      </c>
      <c r="C2393" s="6" t="s">
        <v>15</v>
      </c>
      <c r="D2393" s="6" t="s">
        <v>167</v>
      </c>
      <c r="E2393" s="6" t="s">
        <v>17</v>
      </c>
      <c r="F2393" s="6">
        <v>1</v>
      </c>
      <c r="G2393" s="6">
        <v>627</v>
      </c>
    </row>
    <row r="2394" s="2" customFormat="true" ht="22.5" customHeight="true" spans="1:7">
      <c r="A2394" s="6">
        <f>2392</f>
        <v>2392</v>
      </c>
      <c r="B2394" s="6" t="s">
        <v>2367</v>
      </c>
      <c r="C2394" s="6" t="s">
        <v>9</v>
      </c>
      <c r="D2394" s="6" t="s">
        <v>161</v>
      </c>
      <c r="E2394" s="6" t="s">
        <v>17</v>
      </c>
      <c r="F2394" s="6">
        <v>2</v>
      </c>
      <c r="G2394" s="6">
        <v>1000</v>
      </c>
    </row>
    <row r="2395" s="2" customFormat="true" ht="22.5" customHeight="true" spans="1:7">
      <c r="A2395" s="6">
        <f>2393</f>
        <v>2393</v>
      </c>
      <c r="B2395" s="6" t="s">
        <v>2368</v>
      </c>
      <c r="C2395" s="6" t="s">
        <v>9</v>
      </c>
      <c r="D2395" s="6" t="s">
        <v>188</v>
      </c>
      <c r="E2395" s="6" t="s">
        <v>17</v>
      </c>
      <c r="F2395" s="6">
        <v>2</v>
      </c>
      <c r="G2395" s="6">
        <v>1178</v>
      </c>
    </row>
    <row r="2396" s="2" customFormat="true" ht="22.5" customHeight="true" spans="1:7">
      <c r="A2396" s="6">
        <f>2394</f>
        <v>2394</v>
      </c>
      <c r="B2396" s="6" t="s">
        <v>2369</v>
      </c>
      <c r="C2396" s="6" t="s">
        <v>15</v>
      </c>
      <c r="D2396" s="6" t="s">
        <v>202</v>
      </c>
      <c r="E2396" s="6" t="s">
        <v>17</v>
      </c>
      <c r="F2396" s="6">
        <v>1</v>
      </c>
      <c r="G2396" s="6">
        <v>680</v>
      </c>
    </row>
    <row r="2397" s="2" customFormat="true" ht="22.5" customHeight="true" spans="1:7">
      <c r="A2397" s="6">
        <f>2395</f>
        <v>2395</v>
      </c>
      <c r="B2397" s="6" t="s">
        <v>2370</v>
      </c>
      <c r="C2397" s="6" t="s">
        <v>9</v>
      </c>
      <c r="D2397" s="6" t="s">
        <v>159</v>
      </c>
      <c r="E2397" s="6" t="s">
        <v>17</v>
      </c>
      <c r="F2397" s="6">
        <v>1</v>
      </c>
      <c r="G2397" s="6">
        <v>627</v>
      </c>
    </row>
    <row r="2398" s="2" customFormat="true" ht="22.5" customHeight="true" spans="1:7">
      <c r="A2398" s="6">
        <f>2396</f>
        <v>2396</v>
      </c>
      <c r="B2398" s="6" t="s">
        <v>2371</v>
      </c>
      <c r="C2398" s="6" t="s">
        <v>9</v>
      </c>
      <c r="D2398" s="6" t="s">
        <v>143</v>
      </c>
      <c r="E2398" s="6" t="s">
        <v>11</v>
      </c>
      <c r="F2398" s="6">
        <v>1</v>
      </c>
      <c r="G2398" s="6">
        <v>551</v>
      </c>
    </row>
    <row r="2399" s="2" customFormat="true" ht="22.5" customHeight="true" spans="1:7">
      <c r="A2399" s="6">
        <f>2397</f>
        <v>2397</v>
      </c>
      <c r="B2399" s="6" t="s">
        <v>542</v>
      </c>
      <c r="C2399" s="6" t="s">
        <v>15</v>
      </c>
      <c r="D2399" s="6" t="s">
        <v>124</v>
      </c>
      <c r="E2399" s="6" t="s">
        <v>17</v>
      </c>
      <c r="F2399" s="6">
        <v>1</v>
      </c>
      <c r="G2399" s="6">
        <v>400</v>
      </c>
    </row>
    <row r="2400" s="2" customFormat="true" ht="22.5" customHeight="true" spans="1:7">
      <c r="A2400" s="6">
        <f>2398</f>
        <v>2398</v>
      </c>
      <c r="B2400" s="6" t="s">
        <v>2372</v>
      </c>
      <c r="C2400" s="6" t="s">
        <v>9</v>
      </c>
      <c r="D2400" s="6" t="s">
        <v>270</v>
      </c>
      <c r="E2400" s="6" t="s">
        <v>11</v>
      </c>
      <c r="F2400" s="6">
        <v>3</v>
      </c>
      <c r="G2400" s="6">
        <v>1652</v>
      </c>
    </row>
    <row r="2401" s="2" customFormat="true" ht="22.5" customHeight="true" spans="1:7">
      <c r="A2401" s="6">
        <f>2399</f>
        <v>2399</v>
      </c>
      <c r="B2401" s="6" t="s">
        <v>2373</v>
      </c>
      <c r="C2401" s="6" t="s">
        <v>15</v>
      </c>
      <c r="D2401" s="6" t="s">
        <v>270</v>
      </c>
      <c r="E2401" s="6" t="s">
        <v>17</v>
      </c>
      <c r="F2401" s="6">
        <v>2</v>
      </c>
      <c r="G2401" s="6">
        <v>1027</v>
      </c>
    </row>
    <row r="2402" s="2" customFormat="true" ht="22.5" customHeight="true" spans="1:7">
      <c r="A2402" s="6">
        <f>2400</f>
        <v>2400</v>
      </c>
      <c r="B2402" s="6" t="s">
        <v>2374</v>
      </c>
      <c r="C2402" s="6" t="s">
        <v>9</v>
      </c>
      <c r="D2402" s="6" t="s">
        <v>416</v>
      </c>
      <c r="E2402" s="6" t="s">
        <v>17</v>
      </c>
      <c r="F2402" s="6">
        <v>1</v>
      </c>
      <c r="G2402" s="6">
        <v>627</v>
      </c>
    </row>
    <row r="2403" s="2" customFormat="true" ht="22.5" customHeight="true" spans="1:7">
      <c r="A2403" s="6">
        <f>2401</f>
        <v>2401</v>
      </c>
      <c r="B2403" s="6" t="s">
        <v>2375</v>
      </c>
      <c r="C2403" s="6" t="s">
        <v>15</v>
      </c>
      <c r="D2403" s="6" t="s">
        <v>129</v>
      </c>
      <c r="E2403" s="6" t="s">
        <v>17</v>
      </c>
      <c r="F2403" s="6">
        <v>2</v>
      </c>
      <c r="G2403" s="6">
        <v>1254</v>
      </c>
    </row>
    <row r="2404" s="2" customFormat="true" ht="22.5" customHeight="true" spans="1:7">
      <c r="A2404" s="6">
        <f>2402</f>
        <v>2402</v>
      </c>
      <c r="B2404" s="6" t="s">
        <v>2376</v>
      </c>
      <c r="C2404" s="6" t="s">
        <v>15</v>
      </c>
      <c r="D2404" s="6" t="s">
        <v>117</v>
      </c>
      <c r="E2404" s="6" t="s">
        <v>17</v>
      </c>
      <c r="F2404" s="6">
        <v>2</v>
      </c>
      <c r="G2404" s="6">
        <v>1260</v>
      </c>
    </row>
    <row r="2405" s="2" customFormat="true" ht="22.5" customHeight="true" spans="1:7">
      <c r="A2405" s="6">
        <f>2403</f>
        <v>2403</v>
      </c>
      <c r="B2405" s="6" t="s">
        <v>2377</v>
      </c>
      <c r="C2405" s="6" t="s">
        <v>15</v>
      </c>
      <c r="D2405" s="6" t="s">
        <v>149</v>
      </c>
      <c r="E2405" s="6" t="s">
        <v>17</v>
      </c>
      <c r="F2405" s="6">
        <v>1</v>
      </c>
      <c r="G2405" s="6">
        <v>627</v>
      </c>
    </row>
    <row r="2406" s="2" customFormat="true" ht="22.5" customHeight="true" spans="1:7">
      <c r="A2406" s="6">
        <f>2404</f>
        <v>2404</v>
      </c>
      <c r="B2406" s="6" t="s">
        <v>2378</v>
      </c>
      <c r="C2406" s="6" t="s">
        <v>15</v>
      </c>
      <c r="D2406" s="6" t="s">
        <v>133</v>
      </c>
      <c r="E2406" s="6" t="s">
        <v>17</v>
      </c>
      <c r="F2406" s="6">
        <v>1</v>
      </c>
      <c r="G2406" s="6">
        <v>627</v>
      </c>
    </row>
    <row r="2407" s="2" customFormat="true" ht="22.5" customHeight="true" spans="1:7">
      <c r="A2407" s="6">
        <f>2405</f>
        <v>2405</v>
      </c>
      <c r="B2407" s="6" t="s">
        <v>850</v>
      </c>
      <c r="C2407" s="6" t="s">
        <v>15</v>
      </c>
      <c r="D2407" s="6" t="s">
        <v>169</v>
      </c>
      <c r="E2407" s="6" t="s">
        <v>17</v>
      </c>
      <c r="F2407" s="6">
        <v>1</v>
      </c>
      <c r="G2407" s="6">
        <v>627</v>
      </c>
    </row>
    <row r="2408" s="2" customFormat="true" ht="22.5" customHeight="true" spans="1:7">
      <c r="A2408" s="6">
        <f>2406</f>
        <v>2406</v>
      </c>
      <c r="B2408" s="6" t="s">
        <v>2379</v>
      </c>
      <c r="C2408" s="6" t="s">
        <v>9</v>
      </c>
      <c r="D2408" s="6" t="s">
        <v>129</v>
      </c>
      <c r="E2408" s="6" t="s">
        <v>17</v>
      </c>
      <c r="F2408" s="6">
        <v>2</v>
      </c>
      <c r="G2408" s="6">
        <v>1027</v>
      </c>
    </row>
    <row r="2409" s="2" customFormat="true" ht="22.5" customHeight="true" spans="1:7">
      <c r="A2409" s="6">
        <f>2407</f>
        <v>2407</v>
      </c>
      <c r="B2409" s="6" t="s">
        <v>2380</v>
      </c>
      <c r="C2409" s="6" t="s">
        <v>15</v>
      </c>
      <c r="D2409" s="6" t="s">
        <v>136</v>
      </c>
      <c r="E2409" s="6" t="s">
        <v>17</v>
      </c>
      <c r="F2409" s="6">
        <v>1</v>
      </c>
      <c r="G2409" s="6">
        <v>690</v>
      </c>
    </row>
    <row r="2410" s="2" customFormat="true" ht="22.5" customHeight="true" spans="1:7">
      <c r="A2410" s="6">
        <f>2408</f>
        <v>2408</v>
      </c>
      <c r="B2410" s="6" t="s">
        <v>2381</v>
      </c>
      <c r="C2410" s="6" t="s">
        <v>9</v>
      </c>
      <c r="D2410" s="6" t="s">
        <v>104</v>
      </c>
      <c r="E2410" s="6" t="s">
        <v>17</v>
      </c>
      <c r="F2410" s="6">
        <v>2</v>
      </c>
      <c r="G2410" s="6">
        <v>1284</v>
      </c>
    </row>
    <row r="2411" s="2" customFormat="true" ht="22.5" customHeight="true" spans="1:7">
      <c r="A2411" s="6">
        <f>2409</f>
        <v>2409</v>
      </c>
      <c r="B2411" s="6" t="s">
        <v>2382</v>
      </c>
      <c r="C2411" s="6" t="s">
        <v>15</v>
      </c>
      <c r="D2411" s="6" t="s">
        <v>16</v>
      </c>
      <c r="E2411" s="6" t="s">
        <v>11</v>
      </c>
      <c r="F2411" s="6">
        <v>2</v>
      </c>
      <c r="G2411" s="6">
        <v>1188</v>
      </c>
    </row>
    <row r="2412" s="2" customFormat="true" ht="22.5" customHeight="true" spans="1:7">
      <c r="A2412" s="6">
        <f>2410</f>
        <v>2410</v>
      </c>
      <c r="B2412" s="6" t="s">
        <v>2383</v>
      </c>
      <c r="C2412" s="6" t="s">
        <v>15</v>
      </c>
      <c r="D2412" s="6" t="s">
        <v>182</v>
      </c>
      <c r="E2412" s="6" t="s">
        <v>17</v>
      </c>
      <c r="F2412" s="6">
        <v>1</v>
      </c>
      <c r="G2412" s="6">
        <v>690</v>
      </c>
    </row>
    <row r="2413" s="2" customFormat="true" ht="22.5" customHeight="true" spans="1:7">
      <c r="A2413" s="6">
        <f>2411</f>
        <v>2411</v>
      </c>
      <c r="B2413" s="6" t="s">
        <v>2384</v>
      </c>
      <c r="C2413" s="6" t="s">
        <v>15</v>
      </c>
      <c r="D2413" s="6" t="s">
        <v>104</v>
      </c>
      <c r="E2413" s="6" t="s">
        <v>11</v>
      </c>
      <c r="F2413" s="6">
        <v>2</v>
      </c>
      <c r="G2413" s="6">
        <v>1188</v>
      </c>
    </row>
    <row r="2414" s="2" customFormat="true" ht="22.5" customHeight="true" spans="1:7">
      <c r="A2414" s="6">
        <f>2412</f>
        <v>2412</v>
      </c>
      <c r="B2414" s="6" t="s">
        <v>2385</v>
      </c>
      <c r="C2414" s="6" t="s">
        <v>9</v>
      </c>
      <c r="D2414" s="6" t="s">
        <v>182</v>
      </c>
      <c r="E2414" s="6" t="s">
        <v>11</v>
      </c>
      <c r="F2414" s="6">
        <v>2</v>
      </c>
      <c r="G2414" s="6">
        <v>1188</v>
      </c>
    </row>
    <row r="2415" s="2" customFormat="true" ht="22.5" customHeight="true" spans="1:7">
      <c r="A2415" s="6">
        <f>2413</f>
        <v>2413</v>
      </c>
      <c r="B2415" s="6" t="s">
        <v>2386</v>
      </c>
      <c r="C2415" s="6" t="s">
        <v>9</v>
      </c>
      <c r="D2415" s="6" t="s">
        <v>192</v>
      </c>
      <c r="E2415" s="6" t="s">
        <v>17</v>
      </c>
      <c r="F2415" s="6">
        <v>1</v>
      </c>
      <c r="G2415" s="6">
        <v>690</v>
      </c>
    </row>
    <row r="2416" s="2" customFormat="true" ht="22.5" customHeight="true" spans="1:7">
      <c r="A2416" s="6">
        <f>2414</f>
        <v>2414</v>
      </c>
      <c r="B2416" s="6" t="s">
        <v>2387</v>
      </c>
      <c r="C2416" s="6" t="s">
        <v>9</v>
      </c>
      <c r="D2416" s="6" t="s">
        <v>185</v>
      </c>
      <c r="E2416" s="6" t="s">
        <v>11</v>
      </c>
      <c r="F2416" s="6">
        <v>1</v>
      </c>
      <c r="G2416" s="6">
        <v>594</v>
      </c>
    </row>
    <row r="2417" s="2" customFormat="true" ht="22.5" customHeight="true" spans="1:7">
      <c r="A2417" s="6">
        <f>2415</f>
        <v>2415</v>
      </c>
      <c r="B2417" s="6" t="s">
        <v>682</v>
      </c>
      <c r="C2417" s="6" t="s">
        <v>9</v>
      </c>
      <c r="D2417" s="6" t="s">
        <v>19</v>
      </c>
      <c r="E2417" s="6" t="s">
        <v>11</v>
      </c>
      <c r="F2417" s="6">
        <v>1</v>
      </c>
      <c r="G2417" s="6">
        <v>620</v>
      </c>
    </row>
    <row r="2418" s="2" customFormat="true" ht="22.5" customHeight="true" spans="1:7">
      <c r="A2418" s="6">
        <f>2416</f>
        <v>2416</v>
      </c>
      <c r="B2418" s="6" t="s">
        <v>2388</v>
      </c>
      <c r="C2418" s="6" t="s">
        <v>9</v>
      </c>
      <c r="D2418" s="6" t="s">
        <v>10</v>
      </c>
      <c r="E2418" s="6" t="s">
        <v>17</v>
      </c>
      <c r="F2418" s="6">
        <v>1</v>
      </c>
      <c r="G2418" s="6">
        <v>700</v>
      </c>
    </row>
    <row r="2419" s="2" customFormat="true" ht="22.5" customHeight="true" spans="1:7">
      <c r="A2419" s="6">
        <f>2417</f>
        <v>2417</v>
      </c>
      <c r="B2419" s="6" t="s">
        <v>2389</v>
      </c>
      <c r="C2419" s="6" t="s">
        <v>9</v>
      </c>
      <c r="D2419" s="6" t="s">
        <v>27</v>
      </c>
      <c r="E2419" s="6" t="s">
        <v>79</v>
      </c>
      <c r="F2419" s="6">
        <v>1</v>
      </c>
      <c r="G2419" s="6">
        <v>480</v>
      </c>
    </row>
    <row r="2420" s="2" customFormat="true" ht="22.5" customHeight="true" spans="1:7">
      <c r="A2420" s="6">
        <f>2418</f>
        <v>2418</v>
      </c>
      <c r="B2420" s="6" t="s">
        <v>2390</v>
      </c>
      <c r="C2420" s="6" t="s">
        <v>9</v>
      </c>
      <c r="D2420" s="6" t="s">
        <v>188</v>
      </c>
      <c r="E2420" s="6" t="s">
        <v>11</v>
      </c>
      <c r="F2420" s="6">
        <v>1</v>
      </c>
      <c r="G2420" s="6">
        <v>551</v>
      </c>
    </row>
    <row r="2421" s="2" customFormat="true" ht="22.5" customHeight="true" spans="1:7">
      <c r="A2421" s="6">
        <f>2419</f>
        <v>2419</v>
      </c>
      <c r="B2421" s="6" t="s">
        <v>2391</v>
      </c>
      <c r="C2421" s="6" t="s">
        <v>15</v>
      </c>
      <c r="D2421" s="6" t="s">
        <v>129</v>
      </c>
      <c r="E2421" s="6" t="s">
        <v>17</v>
      </c>
      <c r="F2421" s="6">
        <v>5</v>
      </c>
      <c r="G2421" s="6">
        <v>2680</v>
      </c>
    </row>
    <row r="2422" s="2" customFormat="true" ht="22.5" customHeight="true" spans="1:7">
      <c r="A2422" s="6">
        <f>2420</f>
        <v>2420</v>
      </c>
      <c r="B2422" s="6" t="s">
        <v>2024</v>
      </c>
      <c r="C2422" s="6" t="s">
        <v>9</v>
      </c>
      <c r="D2422" s="6" t="s">
        <v>131</v>
      </c>
      <c r="E2422" s="6" t="s">
        <v>17</v>
      </c>
      <c r="F2422" s="6">
        <v>5</v>
      </c>
      <c r="G2422" s="6">
        <v>2680</v>
      </c>
    </row>
    <row r="2423" s="2" customFormat="true" ht="22.5" customHeight="true" spans="1:7">
      <c r="A2423" s="6">
        <f>2421</f>
        <v>2421</v>
      </c>
      <c r="B2423" s="6" t="s">
        <v>2392</v>
      </c>
      <c r="C2423" s="6" t="s">
        <v>15</v>
      </c>
      <c r="D2423" s="6" t="s">
        <v>209</v>
      </c>
      <c r="E2423" s="6" t="s">
        <v>17</v>
      </c>
      <c r="F2423" s="6">
        <v>2</v>
      </c>
      <c r="G2423" s="6">
        <v>1280</v>
      </c>
    </row>
    <row r="2424" s="2" customFormat="true" ht="22.5" customHeight="true" spans="1:7">
      <c r="A2424" s="6">
        <f>2422</f>
        <v>2422</v>
      </c>
      <c r="B2424" s="6" t="s">
        <v>2393</v>
      </c>
      <c r="C2424" s="6" t="s">
        <v>15</v>
      </c>
      <c r="D2424" s="6" t="s">
        <v>136</v>
      </c>
      <c r="E2424" s="6" t="s">
        <v>11</v>
      </c>
      <c r="F2424" s="6">
        <v>1</v>
      </c>
      <c r="G2424" s="6">
        <v>594</v>
      </c>
    </row>
    <row r="2425" s="2" customFormat="true" ht="22.5" customHeight="true" spans="1:7">
      <c r="A2425" s="6">
        <f>2423</f>
        <v>2423</v>
      </c>
      <c r="B2425" s="6" t="s">
        <v>2394</v>
      </c>
      <c r="C2425" s="6" t="s">
        <v>9</v>
      </c>
      <c r="D2425" s="6" t="s">
        <v>13</v>
      </c>
      <c r="E2425" s="6" t="s">
        <v>11</v>
      </c>
      <c r="F2425" s="6">
        <v>2</v>
      </c>
      <c r="G2425" s="6">
        <v>1160</v>
      </c>
    </row>
    <row r="2426" s="2" customFormat="true" ht="22.5" customHeight="true" spans="1:7">
      <c r="A2426" s="6">
        <f>2424</f>
        <v>2424</v>
      </c>
      <c r="B2426" s="6" t="s">
        <v>2395</v>
      </c>
      <c r="C2426" s="6" t="s">
        <v>15</v>
      </c>
      <c r="D2426" s="6" t="s">
        <v>117</v>
      </c>
      <c r="E2426" s="6" t="s">
        <v>17</v>
      </c>
      <c r="F2426" s="6">
        <v>1</v>
      </c>
      <c r="G2426" s="6">
        <v>680</v>
      </c>
    </row>
    <row r="2427" s="2" customFormat="true" ht="22.5" customHeight="true" spans="1:7">
      <c r="A2427" s="6">
        <f>2425</f>
        <v>2425</v>
      </c>
      <c r="B2427" s="6" t="s">
        <v>2396</v>
      </c>
      <c r="C2427" s="6" t="s">
        <v>15</v>
      </c>
      <c r="D2427" s="6" t="s">
        <v>13</v>
      </c>
      <c r="E2427" s="6" t="s">
        <v>11</v>
      </c>
      <c r="F2427" s="6">
        <v>1</v>
      </c>
      <c r="G2427" s="6">
        <v>590</v>
      </c>
    </row>
    <row r="2428" s="2" customFormat="true" ht="22.5" customHeight="true" spans="1:7">
      <c r="A2428" s="6">
        <f>2426</f>
        <v>2426</v>
      </c>
      <c r="B2428" s="6" t="s">
        <v>2397</v>
      </c>
      <c r="C2428" s="6" t="s">
        <v>9</v>
      </c>
      <c r="D2428" s="6" t="s">
        <v>129</v>
      </c>
      <c r="E2428" s="6" t="s">
        <v>17</v>
      </c>
      <c r="F2428" s="6">
        <v>2</v>
      </c>
      <c r="G2428" s="6">
        <v>1178</v>
      </c>
    </row>
    <row r="2429" s="2" customFormat="true" ht="22.5" customHeight="true" spans="1:7">
      <c r="A2429" s="6">
        <f>2427</f>
        <v>2427</v>
      </c>
      <c r="B2429" s="6" t="s">
        <v>2398</v>
      </c>
      <c r="C2429" s="6" t="s">
        <v>9</v>
      </c>
      <c r="D2429" s="6" t="s">
        <v>117</v>
      </c>
      <c r="E2429" s="6" t="s">
        <v>11</v>
      </c>
      <c r="F2429" s="6">
        <v>2</v>
      </c>
      <c r="G2429" s="6">
        <v>1164</v>
      </c>
    </row>
    <row r="2430" s="2" customFormat="true" ht="22.5" customHeight="true" spans="1:7">
      <c r="A2430" s="6">
        <f>2428</f>
        <v>2428</v>
      </c>
      <c r="B2430" s="6" t="s">
        <v>2399</v>
      </c>
      <c r="C2430" s="6" t="s">
        <v>9</v>
      </c>
      <c r="D2430" s="6" t="s">
        <v>122</v>
      </c>
      <c r="E2430" s="6" t="s">
        <v>17</v>
      </c>
      <c r="F2430" s="6">
        <v>1</v>
      </c>
      <c r="G2430" s="6">
        <v>551</v>
      </c>
    </row>
    <row r="2431" s="2" customFormat="true" ht="22.5" customHeight="true" spans="1:7">
      <c r="A2431" s="6">
        <f>2429</f>
        <v>2429</v>
      </c>
      <c r="B2431" s="6" t="s">
        <v>974</v>
      </c>
      <c r="C2431" s="6" t="s">
        <v>9</v>
      </c>
      <c r="D2431" s="6" t="s">
        <v>49</v>
      </c>
      <c r="E2431" s="6" t="s">
        <v>11</v>
      </c>
      <c r="F2431" s="6">
        <v>1</v>
      </c>
      <c r="G2431" s="6">
        <v>590</v>
      </c>
    </row>
    <row r="2432" s="2" customFormat="true" ht="22.5" customHeight="true" spans="1:7">
      <c r="A2432" s="6">
        <f>2430</f>
        <v>2430</v>
      </c>
      <c r="B2432" s="6" t="s">
        <v>2400</v>
      </c>
      <c r="C2432" s="6" t="s">
        <v>15</v>
      </c>
      <c r="D2432" s="6" t="s">
        <v>222</v>
      </c>
      <c r="E2432" s="6" t="s">
        <v>17</v>
      </c>
      <c r="F2432" s="6">
        <v>1</v>
      </c>
      <c r="G2432" s="6">
        <v>627</v>
      </c>
    </row>
    <row r="2433" s="2" customFormat="true" ht="22.5" customHeight="true" spans="1:7">
      <c r="A2433" s="6">
        <f>2431</f>
        <v>2431</v>
      </c>
      <c r="B2433" s="6" t="s">
        <v>2401</v>
      </c>
      <c r="C2433" s="6" t="s">
        <v>9</v>
      </c>
      <c r="D2433" s="6" t="s">
        <v>129</v>
      </c>
      <c r="E2433" s="6" t="s">
        <v>17</v>
      </c>
      <c r="F2433" s="6">
        <v>1</v>
      </c>
      <c r="G2433" s="6">
        <v>627</v>
      </c>
    </row>
    <row r="2434" s="2" customFormat="true" ht="22.5" customHeight="true" spans="1:7">
      <c r="A2434" s="6">
        <f>2432</f>
        <v>2432</v>
      </c>
      <c r="B2434" s="6" t="s">
        <v>2402</v>
      </c>
      <c r="C2434" s="6" t="s">
        <v>15</v>
      </c>
      <c r="D2434" s="6" t="s">
        <v>209</v>
      </c>
      <c r="E2434" s="6" t="s">
        <v>17</v>
      </c>
      <c r="F2434" s="6">
        <v>1</v>
      </c>
      <c r="G2434" s="6">
        <v>680</v>
      </c>
    </row>
    <row r="2435" s="2" customFormat="true" ht="22.5" customHeight="true" spans="1:7">
      <c r="A2435" s="6">
        <f>2433</f>
        <v>2433</v>
      </c>
      <c r="B2435" s="6" t="s">
        <v>2403</v>
      </c>
      <c r="C2435" s="6" t="s">
        <v>9</v>
      </c>
      <c r="D2435" s="6" t="s">
        <v>239</v>
      </c>
      <c r="E2435" s="6" t="s">
        <v>17</v>
      </c>
      <c r="F2435" s="6">
        <v>3</v>
      </c>
      <c r="G2435" s="6">
        <v>1805</v>
      </c>
    </row>
    <row r="2436" s="2" customFormat="true" ht="22.5" customHeight="true" spans="1:7">
      <c r="A2436" s="6">
        <f>2434</f>
        <v>2434</v>
      </c>
      <c r="B2436" s="6" t="s">
        <v>2404</v>
      </c>
      <c r="C2436" s="6" t="s">
        <v>15</v>
      </c>
      <c r="D2436" s="6" t="s">
        <v>167</v>
      </c>
      <c r="E2436" s="6" t="s">
        <v>11</v>
      </c>
      <c r="F2436" s="6">
        <v>3</v>
      </c>
      <c r="G2436" s="6">
        <v>1502</v>
      </c>
    </row>
    <row r="2437" s="2" customFormat="true" ht="22.5" customHeight="true" spans="1:7">
      <c r="A2437" s="6">
        <f>2435</f>
        <v>2435</v>
      </c>
      <c r="B2437" s="6" t="s">
        <v>2405</v>
      </c>
      <c r="C2437" s="6" t="s">
        <v>9</v>
      </c>
      <c r="D2437" s="6" t="s">
        <v>67</v>
      </c>
      <c r="E2437" s="6" t="s">
        <v>17</v>
      </c>
      <c r="F2437" s="6">
        <v>4</v>
      </c>
      <c r="G2437" s="6">
        <v>2310</v>
      </c>
    </row>
    <row r="2438" s="2" customFormat="true" ht="22.5" customHeight="true" spans="1:7">
      <c r="A2438" s="6">
        <f>2436</f>
        <v>2436</v>
      </c>
      <c r="B2438" s="6" t="s">
        <v>2406</v>
      </c>
      <c r="C2438" s="6" t="s">
        <v>9</v>
      </c>
      <c r="D2438" s="6" t="s">
        <v>192</v>
      </c>
      <c r="E2438" s="6" t="s">
        <v>79</v>
      </c>
      <c r="F2438" s="6">
        <v>1</v>
      </c>
      <c r="G2438" s="6">
        <v>413</v>
      </c>
    </row>
    <row r="2439" s="2" customFormat="true" ht="22.5" customHeight="true" spans="1:7">
      <c r="A2439" s="6">
        <f>2437</f>
        <v>2437</v>
      </c>
      <c r="B2439" s="6" t="s">
        <v>2407</v>
      </c>
      <c r="C2439" s="6" t="s">
        <v>9</v>
      </c>
      <c r="D2439" s="6" t="s">
        <v>49</v>
      </c>
      <c r="E2439" s="6" t="s">
        <v>17</v>
      </c>
      <c r="F2439" s="6">
        <v>1</v>
      </c>
      <c r="G2439" s="6">
        <v>710</v>
      </c>
    </row>
    <row r="2440" s="2" customFormat="true" ht="22.5" customHeight="true" spans="1:7">
      <c r="A2440" s="6">
        <f>2438</f>
        <v>2438</v>
      </c>
      <c r="B2440" s="6" t="s">
        <v>2408</v>
      </c>
      <c r="C2440" s="6" t="s">
        <v>15</v>
      </c>
      <c r="D2440" s="6" t="s">
        <v>159</v>
      </c>
      <c r="E2440" s="6" t="s">
        <v>17</v>
      </c>
      <c r="F2440" s="6">
        <v>1</v>
      </c>
      <c r="G2440" s="6">
        <v>627</v>
      </c>
    </row>
    <row r="2441" s="2" customFormat="true" ht="22.5" customHeight="true" spans="1:7">
      <c r="A2441" s="6">
        <f>2439</f>
        <v>2439</v>
      </c>
      <c r="B2441" s="6" t="s">
        <v>2409</v>
      </c>
      <c r="C2441" s="6" t="s">
        <v>15</v>
      </c>
      <c r="D2441" s="6" t="s">
        <v>35</v>
      </c>
      <c r="E2441" s="6" t="s">
        <v>17</v>
      </c>
      <c r="F2441" s="6">
        <v>1</v>
      </c>
      <c r="G2441" s="6">
        <v>656</v>
      </c>
    </row>
    <row r="2442" s="2" customFormat="true" ht="22.5" customHeight="true" spans="1:7">
      <c r="A2442" s="6">
        <f>2440</f>
        <v>2440</v>
      </c>
      <c r="B2442" s="6" t="s">
        <v>2410</v>
      </c>
      <c r="C2442" s="6" t="s">
        <v>15</v>
      </c>
      <c r="D2442" s="6" t="s">
        <v>27</v>
      </c>
      <c r="E2442" s="6" t="s">
        <v>17</v>
      </c>
      <c r="F2442" s="6">
        <v>1</v>
      </c>
      <c r="G2442" s="6">
        <v>680</v>
      </c>
    </row>
    <row r="2443" s="2" customFormat="true" ht="22.5" customHeight="true" spans="1:7">
      <c r="A2443" s="6">
        <f>2441</f>
        <v>2441</v>
      </c>
      <c r="B2443" s="6" t="s">
        <v>2411</v>
      </c>
      <c r="C2443" s="6" t="s">
        <v>9</v>
      </c>
      <c r="D2443" s="6" t="s">
        <v>27</v>
      </c>
      <c r="E2443" s="6" t="s">
        <v>79</v>
      </c>
      <c r="F2443" s="6">
        <v>1</v>
      </c>
      <c r="G2443" s="6">
        <v>480</v>
      </c>
    </row>
    <row r="2444" s="2" customFormat="true" ht="22.5" customHeight="true" spans="1:7">
      <c r="A2444" s="6">
        <f>2442</f>
        <v>2442</v>
      </c>
      <c r="B2444" s="6" t="s">
        <v>2412</v>
      </c>
      <c r="C2444" s="6" t="s">
        <v>15</v>
      </c>
      <c r="D2444" s="6" t="s">
        <v>185</v>
      </c>
      <c r="E2444" s="6" t="s">
        <v>11</v>
      </c>
      <c r="F2444" s="6">
        <v>3</v>
      </c>
      <c r="G2444" s="6">
        <v>1601</v>
      </c>
    </row>
    <row r="2445" s="2" customFormat="true" ht="22.5" customHeight="true" spans="1:7">
      <c r="A2445" s="6">
        <f>2443</f>
        <v>2443</v>
      </c>
      <c r="B2445" s="6" t="s">
        <v>2413</v>
      </c>
      <c r="C2445" s="6" t="s">
        <v>9</v>
      </c>
      <c r="D2445" s="6" t="s">
        <v>16</v>
      </c>
      <c r="E2445" s="6" t="s">
        <v>17</v>
      </c>
      <c r="F2445" s="6">
        <v>3</v>
      </c>
      <c r="G2445" s="6">
        <v>1878</v>
      </c>
    </row>
    <row r="2446" s="2" customFormat="true" ht="22.5" customHeight="true" spans="1:7">
      <c r="A2446" s="6">
        <f>2444</f>
        <v>2444</v>
      </c>
      <c r="B2446" s="6" t="s">
        <v>2414</v>
      </c>
      <c r="C2446" s="6" t="s">
        <v>9</v>
      </c>
      <c r="D2446" s="6" t="s">
        <v>164</v>
      </c>
      <c r="E2446" s="6" t="s">
        <v>17</v>
      </c>
      <c r="F2446" s="6">
        <v>1</v>
      </c>
      <c r="G2446" s="6">
        <v>627</v>
      </c>
    </row>
    <row r="2447" s="2" customFormat="true" ht="22.5" customHeight="true" spans="1:7">
      <c r="A2447" s="6">
        <f>2445</f>
        <v>2445</v>
      </c>
      <c r="B2447" s="6" t="s">
        <v>2415</v>
      </c>
      <c r="C2447" s="6" t="s">
        <v>15</v>
      </c>
      <c r="D2447" s="6" t="s">
        <v>202</v>
      </c>
      <c r="E2447" s="6" t="s">
        <v>17</v>
      </c>
      <c r="F2447" s="6">
        <v>1</v>
      </c>
      <c r="G2447" s="6">
        <v>670</v>
      </c>
    </row>
    <row r="2448" s="2" customFormat="true" ht="22.5" customHeight="true" spans="1:7">
      <c r="A2448" s="6">
        <f>2446</f>
        <v>2446</v>
      </c>
      <c r="B2448" s="6" t="s">
        <v>2416</v>
      </c>
      <c r="C2448" s="6" t="s">
        <v>15</v>
      </c>
      <c r="D2448" s="6" t="s">
        <v>182</v>
      </c>
      <c r="E2448" s="6" t="s">
        <v>17</v>
      </c>
      <c r="F2448" s="6">
        <v>1</v>
      </c>
      <c r="G2448" s="6">
        <v>690</v>
      </c>
    </row>
    <row r="2449" s="2" customFormat="true" ht="22.5" customHeight="true" spans="1:7">
      <c r="A2449" s="6">
        <f>2447</f>
        <v>2447</v>
      </c>
      <c r="B2449" s="6" t="s">
        <v>2417</v>
      </c>
      <c r="C2449" s="6" t="s">
        <v>15</v>
      </c>
      <c r="D2449" s="6" t="s">
        <v>122</v>
      </c>
      <c r="E2449" s="6" t="s">
        <v>17</v>
      </c>
      <c r="F2449" s="6">
        <v>2</v>
      </c>
      <c r="G2449" s="6">
        <v>1254</v>
      </c>
    </row>
    <row r="2450" s="2" customFormat="true" ht="22.5" customHeight="true" spans="1:7">
      <c r="A2450" s="6">
        <f>2448</f>
        <v>2448</v>
      </c>
      <c r="B2450" s="6" t="s">
        <v>2418</v>
      </c>
      <c r="C2450" s="6" t="s">
        <v>9</v>
      </c>
      <c r="D2450" s="6" t="s">
        <v>104</v>
      </c>
      <c r="E2450" s="6" t="s">
        <v>11</v>
      </c>
      <c r="F2450" s="6">
        <v>1</v>
      </c>
      <c r="G2450" s="6">
        <v>594</v>
      </c>
    </row>
    <row r="2451" s="2" customFormat="true" ht="22.5" customHeight="true" spans="1:7">
      <c r="A2451" s="6">
        <f>2449</f>
        <v>2449</v>
      </c>
      <c r="B2451" s="6" t="s">
        <v>2419</v>
      </c>
      <c r="C2451" s="6" t="s">
        <v>15</v>
      </c>
      <c r="D2451" s="6" t="s">
        <v>230</v>
      </c>
      <c r="E2451" s="6" t="s">
        <v>17</v>
      </c>
      <c r="F2451" s="6">
        <v>1</v>
      </c>
      <c r="G2451" s="6">
        <v>675</v>
      </c>
    </row>
    <row r="2452" s="2" customFormat="true" ht="22.5" customHeight="true" spans="1:7">
      <c r="A2452" s="6">
        <f>2450</f>
        <v>2450</v>
      </c>
      <c r="B2452" s="6" t="s">
        <v>2420</v>
      </c>
      <c r="C2452" s="6" t="s">
        <v>15</v>
      </c>
      <c r="D2452" s="6" t="s">
        <v>180</v>
      </c>
      <c r="E2452" s="6" t="s">
        <v>17</v>
      </c>
      <c r="F2452" s="6">
        <v>1</v>
      </c>
      <c r="G2452" s="6">
        <v>627</v>
      </c>
    </row>
    <row r="2453" s="2" customFormat="true" ht="22.5" customHeight="true" spans="1:7">
      <c r="A2453" s="6">
        <f>2451</f>
        <v>2451</v>
      </c>
      <c r="B2453" s="6" t="s">
        <v>2421</v>
      </c>
      <c r="C2453" s="6" t="s">
        <v>15</v>
      </c>
      <c r="D2453" s="6" t="s">
        <v>192</v>
      </c>
      <c r="E2453" s="6" t="s">
        <v>17</v>
      </c>
      <c r="F2453" s="6">
        <v>2</v>
      </c>
      <c r="G2453" s="6">
        <v>1103</v>
      </c>
    </row>
    <row r="2454" s="2" customFormat="true" ht="22.5" customHeight="true" spans="1:7">
      <c r="A2454" s="6">
        <f>2452</f>
        <v>2452</v>
      </c>
      <c r="B2454" s="6" t="s">
        <v>2422</v>
      </c>
      <c r="C2454" s="6" t="s">
        <v>15</v>
      </c>
      <c r="D2454" s="6" t="s">
        <v>122</v>
      </c>
      <c r="E2454" s="6" t="s">
        <v>17</v>
      </c>
      <c r="F2454" s="6">
        <v>1</v>
      </c>
      <c r="G2454" s="6">
        <v>627</v>
      </c>
    </row>
    <row r="2455" s="2" customFormat="true" ht="22.5" customHeight="true" spans="1:7">
      <c r="A2455" s="6">
        <f>2453</f>
        <v>2453</v>
      </c>
      <c r="B2455" s="6" t="s">
        <v>2423</v>
      </c>
      <c r="C2455" s="6" t="s">
        <v>15</v>
      </c>
      <c r="D2455" s="6" t="s">
        <v>19</v>
      </c>
      <c r="E2455" s="6" t="s">
        <v>17</v>
      </c>
      <c r="F2455" s="6">
        <v>1</v>
      </c>
      <c r="G2455" s="6">
        <v>680</v>
      </c>
    </row>
    <row r="2456" s="2" customFormat="true" ht="22.5" customHeight="true" spans="1:7">
      <c r="A2456" s="6">
        <f>2454</f>
        <v>2454</v>
      </c>
      <c r="B2456" s="6" t="s">
        <v>2424</v>
      </c>
      <c r="C2456" s="6" t="s">
        <v>9</v>
      </c>
      <c r="D2456" s="6" t="s">
        <v>209</v>
      </c>
      <c r="E2456" s="6" t="s">
        <v>17</v>
      </c>
      <c r="F2456" s="6">
        <v>1</v>
      </c>
      <c r="G2456" s="6">
        <v>695</v>
      </c>
    </row>
    <row r="2457" s="2" customFormat="true" ht="22.5" customHeight="true" spans="1:7">
      <c r="A2457" s="6">
        <f>2455</f>
        <v>2455</v>
      </c>
      <c r="B2457" s="6" t="s">
        <v>2425</v>
      </c>
      <c r="C2457" s="6" t="s">
        <v>9</v>
      </c>
      <c r="D2457" s="6" t="s">
        <v>182</v>
      </c>
      <c r="E2457" s="6" t="s">
        <v>79</v>
      </c>
      <c r="F2457" s="6">
        <v>2</v>
      </c>
      <c r="G2457" s="6">
        <v>826</v>
      </c>
    </row>
    <row r="2458" s="2" customFormat="true" ht="22.5" customHeight="true" spans="1:7">
      <c r="A2458" s="6">
        <f>2456</f>
        <v>2456</v>
      </c>
      <c r="B2458" s="6" t="s">
        <v>2426</v>
      </c>
      <c r="C2458" s="6" t="s">
        <v>15</v>
      </c>
      <c r="D2458" s="6" t="s">
        <v>146</v>
      </c>
      <c r="E2458" s="6" t="s">
        <v>17</v>
      </c>
      <c r="F2458" s="6">
        <v>1</v>
      </c>
      <c r="G2458" s="6">
        <v>627</v>
      </c>
    </row>
    <row r="2459" s="2" customFormat="true" ht="22.5" customHeight="true" spans="1:7">
      <c r="A2459" s="6">
        <f>2457</f>
        <v>2457</v>
      </c>
      <c r="B2459" s="6" t="s">
        <v>2427</v>
      </c>
      <c r="C2459" s="6" t="s">
        <v>9</v>
      </c>
      <c r="D2459" s="6" t="s">
        <v>143</v>
      </c>
      <c r="E2459" s="6" t="s">
        <v>11</v>
      </c>
      <c r="F2459" s="6">
        <v>4</v>
      </c>
      <c r="G2459" s="6">
        <v>2053</v>
      </c>
    </row>
    <row r="2460" s="2" customFormat="true" ht="22.5" customHeight="true" spans="1:7">
      <c r="A2460" s="6">
        <f>2458</f>
        <v>2458</v>
      </c>
      <c r="B2460" s="6" t="s">
        <v>2428</v>
      </c>
      <c r="C2460" s="6" t="s">
        <v>15</v>
      </c>
      <c r="D2460" s="6" t="s">
        <v>185</v>
      </c>
      <c r="E2460" s="6" t="s">
        <v>11</v>
      </c>
      <c r="F2460" s="6">
        <v>1</v>
      </c>
      <c r="G2460" s="6">
        <v>594</v>
      </c>
    </row>
    <row r="2461" s="2" customFormat="true" ht="22.5" customHeight="true" spans="1:7">
      <c r="A2461" s="6">
        <f>2459</f>
        <v>2459</v>
      </c>
      <c r="B2461" s="6" t="s">
        <v>2429</v>
      </c>
      <c r="C2461" s="6" t="s">
        <v>15</v>
      </c>
      <c r="D2461" s="6" t="s">
        <v>146</v>
      </c>
      <c r="E2461" s="6" t="s">
        <v>11</v>
      </c>
      <c r="F2461" s="6">
        <v>1</v>
      </c>
      <c r="G2461" s="6">
        <v>551</v>
      </c>
    </row>
    <row r="2462" s="2" customFormat="true" ht="22.5" customHeight="true" spans="1:7">
      <c r="A2462" s="6">
        <f>2460</f>
        <v>2460</v>
      </c>
      <c r="B2462" s="6" t="s">
        <v>478</v>
      </c>
      <c r="C2462" s="6" t="s">
        <v>9</v>
      </c>
      <c r="D2462" s="6" t="s">
        <v>209</v>
      </c>
      <c r="E2462" s="6" t="s">
        <v>17</v>
      </c>
      <c r="F2462" s="6">
        <v>1</v>
      </c>
      <c r="G2462" s="6">
        <v>698</v>
      </c>
    </row>
    <row r="2463" s="2" customFormat="true" ht="22.5" customHeight="true" spans="1:7">
      <c r="A2463" s="6">
        <f>2461</f>
        <v>2461</v>
      </c>
      <c r="B2463" s="6" t="s">
        <v>2430</v>
      </c>
      <c r="C2463" s="6" t="s">
        <v>15</v>
      </c>
      <c r="D2463" s="6" t="s">
        <v>209</v>
      </c>
      <c r="E2463" s="6" t="s">
        <v>11</v>
      </c>
      <c r="F2463" s="6">
        <v>2</v>
      </c>
      <c r="G2463" s="6">
        <v>1194</v>
      </c>
    </row>
    <row r="2464" s="2" customFormat="true" ht="22.5" customHeight="true" spans="1:7">
      <c r="A2464" s="6">
        <f>2462</f>
        <v>2462</v>
      </c>
      <c r="B2464" s="6" t="s">
        <v>2431</v>
      </c>
      <c r="C2464" s="6" t="s">
        <v>9</v>
      </c>
      <c r="D2464" s="6" t="s">
        <v>239</v>
      </c>
      <c r="E2464" s="6" t="s">
        <v>17</v>
      </c>
      <c r="F2464" s="6">
        <v>2</v>
      </c>
      <c r="G2464" s="6">
        <v>1178</v>
      </c>
    </row>
    <row r="2465" s="2" customFormat="true" ht="22.5" customHeight="true" spans="1:7">
      <c r="A2465" s="6">
        <f>2463</f>
        <v>2463</v>
      </c>
      <c r="B2465" s="6" t="s">
        <v>2432</v>
      </c>
      <c r="C2465" s="6" t="s">
        <v>9</v>
      </c>
      <c r="D2465" s="6" t="s">
        <v>138</v>
      </c>
      <c r="E2465" s="6" t="s">
        <v>17</v>
      </c>
      <c r="F2465" s="6">
        <v>1</v>
      </c>
      <c r="G2465" s="6">
        <v>696</v>
      </c>
    </row>
    <row r="2466" s="2" customFormat="true" ht="22.5" customHeight="true" spans="1:7">
      <c r="A2466" s="6">
        <f>2464</f>
        <v>2464</v>
      </c>
      <c r="B2466" s="6" t="s">
        <v>2433</v>
      </c>
      <c r="C2466" s="6" t="s">
        <v>15</v>
      </c>
      <c r="D2466" s="6" t="s">
        <v>209</v>
      </c>
      <c r="E2466" s="6" t="s">
        <v>17</v>
      </c>
      <c r="F2466" s="6">
        <v>1</v>
      </c>
      <c r="G2466" s="6">
        <v>702</v>
      </c>
    </row>
    <row r="2467" s="2" customFormat="true" ht="22.5" customHeight="true" spans="1:7">
      <c r="A2467" s="6">
        <f>2465</f>
        <v>2465</v>
      </c>
      <c r="B2467" s="6" t="s">
        <v>983</v>
      </c>
      <c r="C2467" s="6" t="s">
        <v>9</v>
      </c>
      <c r="D2467" s="6" t="s">
        <v>149</v>
      </c>
      <c r="E2467" s="6" t="s">
        <v>17</v>
      </c>
      <c r="F2467" s="6">
        <v>2</v>
      </c>
      <c r="G2467" s="6">
        <v>1027</v>
      </c>
    </row>
    <row r="2468" s="2" customFormat="true" ht="22.5" customHeight="true" spans="1:7">
      <c r="A2468" s="6">
        <f>2466</f>
        <v>2466</v>
      </c>
      <c r="B2468" s="6" t="s">
        <v>2434</v>
      </c>
      <c r="C2468" s="6" t="s">
        <v>9</v>
      </c>
      <c r="D2468" s="6" t="s">
        <v>136</v>
      </c>
      <c r="E2468" s="6" t="s">
        <v>17</v>
      </c>
      <c r="F2468" s="6">
        <v>1</v>
      </c>
      <c r="G2468" s="6">
        <v>690</v>
      </c>
    </row>
    <row r="2469" s="2" customFormat="true" ht="22.5" customHeight="true" spans="1:7">
      <c r="A2469" s="6">
        <f>2467</f>
        <v>2467</v>
      </c>
      <c r="B2469" s="6" t="s">
        <v>2435</v>
      </c>
      <c r="C2469" s="6" t="s">
        <v>9</v>
      </c>
      <c r="D2469" s="6" t="s">
        <v>136</v>
      </c>
      <c r="E2469" s="6" t="s">
        <v>17</v>
      </c>
      <c r="F2469" s="6">
        <v>1</v>
      </c>
      <c r="G2469" s="6">
        <v>690</v>
      </c>
    </row>
    <row r="2470" s="2" customFormat="true" ht="22.5" customHeight="true" spans="1:7">
      <c r="A2470" s="6">
        <f>2468</f>
        <v>2468</v>
      </c>
      <c r="B2470" s="6" t="s">
        <v>2436</v>
      </c>
      <c r="C2470" s="6" t="s">
        <v>15</v>
      </c>
      <c r="D2470" s="6" t="s">
        <v>129</v>
      </c>
      <c r="E2470" s="6" t="s">
        <v>17</v>
      </c>
      <c r="F2470" s="6">
        <v>2</v>
      </c>
      <c r="G2470" s="6">
        <v>1027</v>
      </c>
    </row>
    <row r="2471" s="2" customFormat="true" ht="22.5" customHeight="true" spans="1:7">
      <c r="A2471" s="6">
        <f>2469</f>
        <v>2469</v>
      </c>
      <c r="B2471" s="6" t="s">
        <v>2437</v>
      </c>
      <c r="C2471" s="6" t="s">
        <v>9</v>
      </c>
      <c r="D2471" s="6" t="s">
        <v>192</v>
      </c>
      <c r="E2471" s="6" t="s">
        <v>17</v>
      </c>
      <c r="F2471" s="6">
        <v>1</v>
      </c>
      <c r="G2471" s="6">
        <v>690</v>
      </c>
    </row>
    <row r="2472" s="2" customFormat="true" ht="22.5" customHeight="true" spans="1:7">
      <c r="A2472" s="6">
        <f>2470</f>
        <v>2470</v>
      </c>
      <c r="B2472" s="6" t="s">
        <v>2438</v>
      </c>
      <c r="C2472" s="6" t="s">
        <v>9</v>
      </c>
      <c r="D2472" s="6" t="s">
        <v>149</v>
      </c>
      <c r="E2472" s="6" t="s">
        <v>17</v>
      </c>
      <c r="F2472" s="6">
        <v>4</v>
      </c>
      <c r="G2472" s="6">
        <v>2129</v>
      </c>
    </row>
    <row r="2473" s="2" customFormat="true" ht="22.5" customHeight="true" spans="1:7">
      <c r="A2473" s="6">
        <f>2471</f>
        <v>2471</v>
      </c>
      <c r="B2473" s="6" t="s">
        <v>2439</v>
      </c>
      <c r="C2473" s="6" t="s">
        <v>9</v>
      </c>
      <c r="D2473" s="6" t="s">
        <v>239</v>
      </c>
      <c r="E2473" s="6" t="s">
        <v>17</v>
      </c>
      <c r="F2473" s="6">
        <v>3</v>
      </c>
      <c r="G2473" s="6">
        <v>1427</v>
      </c>
    </row>
    <row r="2474" s="2" customFormat="true" ht="22.5" customHeight="true" spans="1:7">
      <c r="A2474" s="6">
        <f>2472</f>
        <v>2472</v>
      </c>
      <c r="B2474" s="6" t="s">
        <v>2440</v>
      </c>
      <c r="C2474" s="6" t="s">
        <v>15</v>
      </c>
      <c r="D2474" s="6" t="s">
        <v>49</v>
      </c>
      <c r="E2474" s="6" t="s">
        <v>17</v>
      </c>
      <c r="F2474" s="6">
        <v>1</v>
      </c>
      <c r="G2474" s="6">
        <v>597</v>
      </c>
    </row>
    <row r="2475" s="2" customFormat="true" ht="22.5" customHeight="true" spans="1:7">
      <c r="A2475" s="6">
        <f>2473</f>
        <v>2473</v>
      </c>
      <c r="B2475" s="6" t="s">
        <v>2441</v>
      </c>
      <c r="C2475" s="6" t="s">
        <v>15</v>
      </c>
      <c r="D2475" s="6" t="s">
        <v>27</v>
      </c>
      <c r="E2475" s="6" t="s">
        <v>17</v>
      </c>
      <c r="F2475" s="6">
        <v>1</v>
      </c>
      <c r="G2475" s="6">
        <v>695</v>
      </c>
    </row>
    <row r="2476" s="2" customFormat="true" ht="22.5" customHeight="true" spans="1:7">
      <c r="A2476" s="6">
        <f>2474</f>
        <v>2474</v>
      </c>
      <c r="B2476" s="6" t="s">
        <v>2442</v>
      </c>
      <c r="C2476" s="6" t="s">
        <v>15</v>
      </c>
      <c r="D2476" s="6" t="s">
        <v>230</v>
      </c>
      <c r="E2476" s="6" t="s">
        <v>11</v>
      </c>
      <c r="F2476" s="6">
        <v>1</v>
      </c>
      <c r="G2476" s="6">
        <v>580</v>
      </c>
    </row>
    <row r="2477" s="2" customFormat="true" ht="22.5" customHeight="true" spans="1:7">
      <c r="A2477" s="6">
        <f>2475</f>
        <v>2475</v>
      </c>
      <c r="B2477" s="6" t="s">
        <v>2443</v>
      </c>
      <c r="C2477" s="6" t="s">
        <v>9</v>
      </c>
      <c r="D2477" s="6" t="s">
        <v>270</v>
      </c>
      <c r="E2477" s="6" t="s">
        <v>17</v>
      </c>
      <c r="F2477" s="6">
        <v>2</v>
      </c>
      <c r="G2477" s="6">
        <v>1178</v>
      </c>
    </row>
    <row r="2478" s="2" customFormat="true" ht="22.5" customHeight="true" spans="1:7">
      <c r="A2478" s="6">
        <f>2476</f>
        <v>2476</v>
      </c>
      <c r="B2478" s="6" t="s">
        <v>2444</v>
      </c>
      <c r="C2478" s="6" t="s">
        <v>9</v>
      </c>
      <c r="D2478" s="6" t="s">
        <v>149</v>
      </c>
      <c r="E2478" s="6" t="s">
        <v>17</v>
      </c>
      <c r="F2478" s="6">
        <v>2</v>
      </c>
      <c r="G2478" s="6">
        <v>1178</v>
      </c>
    </row>
    <row r="2479" s="2" customFormat="true" ht="22.5" customHeight="true" spans="1:7">
      <c r="A2479" s="6">
        <f>2477</f>
        <v>2477</v>
      </c>
      <c r="B2479" s="6" t="s">
        <v>2445</v>
      </c>
      <c r="C2479" s="6" t="s">
        <v>9</v>
      </c>
      <c r="D2479" s="6" t="s">
        <v>67</v>
      </c>
      <c r="E2479" s="6" t="s">
        <v>11</v>
      </c>
      <c r="F2479" s="6">
        <v>1</v>
      </c>
      <c r="G2479" s="6">
        <v>600</v>
      </c>
    </row>
    <row r="2480" s="2" customFormat="true" ht="22.5" customHeight="true" spans="1:7">
      <c r="A2480" s="6">
        <f>2478</f>
        <v>2478</v>
      </c>
      <c r="B2480" s="6" t="s">
        <v>2446</v>
      </c>
      <c r="C2480" s="6" t="s">
        <v>15</v>
      </c>
      <c r="D2480" s="6" t="s">
        <v>239</v>
      </c>
      <c r="E2480" s="6" t="s">
        <v>17</v>
      </c>
      <c r="F2480" s="6">
        <v>2</v>
      </c>
      <c r="G2480" s="6">
        <v>1178</v>
      </c>
    </row>
    <row r="2481" s="2" customFormat="true" ht="22.5" customHeight="true" spans="1:7">
      <c r="A2481" s="6">
        <f>2479</f>
        <v>2479</v>
      </c>
      <c r="B2481" s="6" t="s">
        <v>2447</v>
      </c>
      <c r="C2481" s="6" t="s">
        <v>15</v>
      </c>
      <c r="D2481" s="6" t="s">
        <v>222</v>
      </c>
      <c r="E2481" s="6" t="s">
        <v>17</v>
      </c>
      <c r="F2481" s="6">
        <v>2</v>
      </c>
      <c r="G2481" s="6">
        <v>1127</v>
      </c>
    </row>
    <row r="2482" s="2" customFormat="true" ht="22.5" customHeight="true" spans="1:7">
      <c r="A2482" s="6">
        <f>2480</f>
        <v>2480</v>
      </c>
      <c r="B2482" s="6" t="s">
        <v>2448</v>
      </c>
      <c r="C2482" s="6" t="s">
        <v>15</v>
      </c>
      <c r="D2482" s="6" t="s">
        <v>188</v>
      </c>
      <c r="E2482" s="6" t="s">
        <v>17</v>
      </c>
      <c r="F2482" s="6">
        <v>1</v>
      </c>
      <c r="G2482" s="6">
        <v>627</v>
      </c>
    </row>
    <row r="2483" s="2" customFormat="true" ht="22.5" customHeight="true" spans="1:7">
      <c r="A2483" s="6">
        <f>2481</f>
        <v>2481</v>
      </c>
      <c r="B2483" s="6" t="s">
        <v>2449</v>
      </c>
      <c r="C2483" s="6" t="s">
        <v>9</v>
      </c>
      <c r="D2483" s="6" t="s">
        <v>188</v>
      </c>
      <c r="E2483" s="6" t="s">
        <v>17</v>
      </c>
      <c r="F2483" s="6">
        <v>1</v>
      </c>
      <c r="G2483" s="6">
        <v>627</v>
      </c>
    </row>
    <row r="2484" s="2" customFormat="true" ht="22.5" customHeight="true" spans="1:7">
      <c r="A2484" s="6">
        <f>2482</f>
        <v>2482</v>
      </c>
      <c r="B2484" s="6" t="s">
        <v>2450</v>
      </c>
      <c r="C2484" s="6" t="s">
        <v>9</v>
      </c>
      <c r="D2484" s="6" t="s">
        <v>124</v>
      </c>
      <c r="E2484" s="6" t="s">
        <v>17</v>
      </c>
      <c r="F2484" s="6">
        <v>1</v>
      </c>
      <c r="G2484" s="6">
        <v>627</v>
      </c>
    </row>
    <row r="2485" s="2" customFormat="true" ht="22.5" customHeight="true" spans="1:7">
      <c r="A2485" s="6">
        <f>2483</f>
        <v>2483</v>
      </c>
      <c r="B2485" s="6" t="s">
        <v>2451</v>
      </c>
      <c r="C2485" s="6" t="s">
        <v>9</v>
      </c>
      <c r="D2485" s="6" t="s">
        <v>192</v>
      </c>
      <c r="E2485" s="6" t="s">
        <v>17</v>
      </c>
      <c r="F2485" s="6">
        <v>1</v>
      </c>
      <c r="G2485" s="6">
        <v>690</v>
      </c>
    </row>
    <row r="2486" s="2" customFormat="true" ht="22.5" customHeight="true" spans="1:7">
      <c r="A2486" s="6">
        <f>2484</f>
        <v>2484</v>
      </c>
      <c r="B2486" s="6" t="s">
        <v>2452</v>
      </c>
      <c r="C2486" s="6" t="s">
        <v>9</v>
      </c>
      <c r="D2486" s="6" t="s">
        <v>104</v>
      </c>
      <c r="E2486" s="6" t="s">
        <v>17</v>
      </c>
      <c r="F2486" s="6">
        <v>1</v>
      </c>
      <c r="G2486" s="6">
        <v>614</v>
      </c>
    </row>
    <row r="2487" s="2" customFormat="true" ht="22.5" customHeight="true" spans="1:7">
      <c r="A2487" s="6">
        <f>2485</f>
        <v>2485</v>
      </c>
      <c r="B2487" s="6" t="s">
        <v>2453</v>
      </c>
      <c r="C2487" s="6" t="s">
        <v>15</v>
      </c>
      <c r="D2487" s="6" t="s">
        <v>10</v>
      </c>
      <c r="E2487" s="6" t="s">
        <v>17</v>
      </c>
      <c r="F2487" s="6">
        <v>1</v>
      </c>
      <c r="G2487" s="6">
        <v>656</v>
      </c>
    </row>
    <row r="2488" s="2" customFormat="true" ht="22.5" customHeight="true" spans="1:7">
      <c r="A2488" s="6">
        <f>2486</f>
        <v>2486</v>
      </c>
      <c r="B2488" s="6" t="s">
        <v>2454</v>
      </c>
      <c r="C2488" s="6" t="s">
        <v>9</v>
      </c>
      <c r="D2488" s="6" t="s">
        <v>222</v>
      </c>
      <c r="E2488" s="6" t="s">
        <v>17</v>
      </c>
      <c r="F2488" s="6">
        <v>1</v>
      </c>
      <c r="G2488" s="6">
        <v>627</v>
      </c>
    </row>
    <row r="2489" s="2" customFormat="true" ht="22.5" customHeight="true" spans="1:7">
      <c r="A2489" s="6">
        <f>2487</f>
        <v>2487</v>
      </c>
      <c r="B2489" s="6" t="s">
        <v>2455</v>
      </c>
      <c r="C2489" s="6" t="s">
        <v>15</v>
      </c>
      <c r="D2489" s="6" t="s">
        <v>164</v>
      </c>
      <c r="E2489" s="6" t="s">
        <v>79</v>
      </c>
      <c r="F2489" s="6">
        <v>4</v>
      </c>
      <c r="G2489" s="6">
        <v>2129</v>
      </c>
    </row>
    <row r="2490" s="2" customFormat="true" ht="22.5" customHeight="true" spans="1:7">
      <c r="A2490" s="6">
        <f>2488</f>
        <v>2488</v>
      </c>
      <c r="B2490" s="6" t="s">
        <v>2456</v>
      </c>
      <c r="C2490" s="6" t="s">
        <v>9</v>
      </c>
      <c r="D2490" s="6" t="s">
        <v>49</v>
      </c>
      <c r="E2490" s="6" t="s">
        <v>17</v>
      </c>
      <c r="F2490" s="6">
        <v>1</v>
      </c>
      <c r="G2490" s="6">
        <v>686</v>
      </c>
    </row>
    <row r="2491" s="2" customFormat="true" ht="22.5" customHeight="true" spans="1:7">
      <c r="A2491" s="6">
        <f>2489</f>
        <v>2489</v>
      </c>
      <c r="B2491" s="6" t="s">
        <v>2457</v>
      </c>
      <c r="C2491" s="6" t="s">
        <v>9</v>
      </c>
      <c r="D2491" s="6" t="s">
        <v>149</v>
      </c>
      <c r="E2491" s="6" t="s">
        <v>11</v>
      </c>
      <c r="F2491" s="6">
        <v>2</v>
      </c>
      <c r="G2491" s="6">
        <v>1102</v>
      </c>
    </row>
    <row r="2492" s="2" customFormat="true" ht="22.5" customHeight="true" spans="1:7">
      <c r="A2492" s="6">
        <f>2490</f>
        <v>2490</v>
      </c>
      <c r="B2492" s="6" t="s">
        <v>2458</v>
      </c>
      <c r="C2492" s="6" t="s">
        <v>9</v>
      </c>
      <c r="D2492" s="6" t="s">
        <v>133</v>
      </c>
      <c r="E2492" s="6" t="s">
        <v>11</v>
      </c>
      <c r="F2492" s="6">
        <v>2</v>
      </c>
      <c r="G2492" s="6">
        <v>1102</v>
      </c>
    </row>
    <row r="2493" s="2" customFormat="true" ht="22.5" customHeight="true" spans="1:7">
      <c r="A2493" s="6">
        <f>2491</f>
        <v>2491</v>
      </c>
      <c r="B2493" s="6" t="s">
        <v>2459</v>
      </c>
      <c r="C2493" s="6" t="s">
        <v>15</v>
      </c>
      <c r="D2493" s="6" t="s">
        <v>67</v>
      </c>
      <c r="E2493" s="6" t="s">
        <v>11</v>
      </c>
      <c r="F2493" s="6">
        <v>2</v>
      </c>
      <c r="G2493" s="6">
        <v>1008</v>
      </c>
    </row>
    <row r="2494" s="2" customFormat="true" ht="22.5" customHeight="true" spans="1:7">
      <c r="A2494" s="6">
        <f>2492</f>
        <v>2492</v>
      </c>
      <c r="B2494" s="6" t="s">
        <v>2460</v>
      </c>
      <c r="C2494" s="6" t="s">
        <v>9</v>
      </c>
      <c r="D2494" s="6" t="s">
        <v>209</v>
      </c>
      <c r="E2494" s="6" t="s">
        <v>17</v>
      </c>
      <c r="F2494" s="6">
        <v>1</v>
      </c>
      <c r="G2494" s="6">
        <v>690</v>
      </c>
    </row>
    <row r="2495" s="2" customFormat="true" ht="22.5" customHeight="true" spans="1:7">
      <c r="A2495" s="6">
        <f>2493</f>
        <v>2493</v>
      </c>
      <c r="B2495" s="6" t="s">
        <v>2461</v>
      </c>
      <c r="C2495" s="6" t="s">
        <v>9</v>
      </c>
      <c r="D2495" s="6" t="s">
        <v>49</v>
      </c>
      <c r="E2495" s="6" t="s">
        <v>17</v>
      </c>
      <c r="F2495" s="6">
        <v>2</v>
      </c>
      <c r="G2495" s="6">
        <v>1297</v>
      </c>
    </row>
    <row r="2496" s="2" customFormat="true" ht="22.5" customHeight="true" spans="1:7">
      <c r="A2496" s="6">
        <f>2494</f>
        <v>2494</v>
      </c>
      <c r="B2496" s="6" t="s">
        <v>2462</v>
      </c>
      <c r="C2496" s="6" t="s">
        <v>9</v>
      </c>
      <c r="D2496" s="6" t="s">
        <v>133</v>
      </c>
      <c r="E2496" s="6" t="s">
        <v>79</v>
      </c>
      <c r="F2496" s="6">
        <v>1</v>
      </c>
      <c r="G2496" s="6">
        <v>500</v>
      </c>
    </row>
    <row r="2497" s="2" customFormat="true" ht="22.5" customHeight="true" spans="1:7">
      <c r="A2497" s="6">
        <f>2495</f>
        <v>2495</v>
      </c>
      <c r="B2497" s="6" t="s">
        <v>2463</v>
      </c>
      <c r="C2497" s="6" t="s">
        <v>15</v>
      </c>
      <c r="D2497" s="6" t="s">
        <v>16</v>
      </c>
      <c r="E2497" s="6" t="s">
        <v>17</v>
      </c>
      <c r="F2497" s="6">
        <v>1</v>
      </c>
      <c r="G2497" s="6">
        <v>690</v>
      </c>
    </row>
    <row r="2498" s="2" customFormat="true" ht="22.5" customHeight="true" spans="1:7">
      <c r="A2498" s="6">
        <f>2496</f>
        <v>2496</v>
      </c>
      <c r="B2498" s="6" t="s">
        <v>2464</v>
      </c>
      <c r="C2498" s="6" t="s">
        <v>9</v>
      </c>
      <c r="D2498" s="6" t="s">
        <v>416</v>
      </c>
      <c r="E2498" s="6" t="s">
        <v>11</v>
      </c>
      <c r="F2498" s="6">
        <v>2</v>
      </c>
      <c r="G2498" s="6">
        <v>951</v>
      </c>
    </row>
    <row r="2499" s="2" customFormat="true" ht="22.5" customHeight="true" spans="1:7">
      <c r="A2499" s="6">
        <f>2497</f>
        <v>2497</v>
      </c>
      <c r="B2499" s="6" t="s">
        <v>2465</v>
      </c>
      <c r="C2499" s="6" t="s">
        <v>9</v>
      </c>
      <c r="D2499" s="6" t="s">
        <v>239</v>
      </c>
      <c r="E2499" s="6" t="s">
        <v>17</v>
      </c>
      <c r="F2499" s="6">
        <v>2</v>
      </c>
      <c r="G2499" s="6">
        <v>1027</v>
      </c>
    </row>
    <row r="2500" s="2" customFormat="true" ht="22.5" customHeight="true" spans="1:7">
      <c r="A2500" s="6">
        <f>2498</f>
        <v>2498</v>
      </c>
      <c r="B2500" s="6" t="s">
        <v>2466</v>
      </c>
      <c r="C2500" s="6" t="s">
        <v>15</v>
      </c>
      <c r="D2500" s="6" t="s">
        <v>133</v>
      </c>
      <c r="E2500" s="6" t="s">
        <v>17</v>
      </c>
      <c r="F2500" s="6">
        <v>1</v>
      </c>
      <c r="G2500" s="6">
        <v>627</v>
      </c>
    </row>
    <row r="2501" s="2" customFormat="true" ht="22.5" customHeight="true" spans="1:7">
      <c r="A2501" s="6">
        <f>2499</f>
        <v>2499</v>
      </c>
      <c r="B2501" s="6" t="s">
        <v>1307</v>
      </c>
      <c r="C2501" s="6" t="s">
        <v>9</v>
      </c>
      <c r="D2501" s="6" t="s">
        <v>188</v>
      </c>
      <c r="E2501" s="6" t="s">
        <v>17</v>
      </c>
      <c r="F2501" s="6">
        <v>1</v>
      </c>
      <c r="G2501" s="6">
        <v>627</v>
      </c>
    </row>
    <row r="2502" s="2" customFormat="true" ht="22.5" customHeight="true" spans="1:7">
      <c r="A2502" s="6">
        <f>2500</f>
        <v>2500</v>
      </c>
      <c r="B2502" s="6" t="s">
        <v>2467</v>
      </c>
      <c r="C2502" s="6" t="s">
        <v>15</v>
      </c>
      <c r="D2502" s="6" t="s">
        <v>131</v>
      </c>
      <c r="E2502" s="6" t="s">
        <v>79</v>
      </c>
      <c r="F2502" s="6">
        <v>3</v>
      </c>
      <c r="G2502" s="6">
        <v>1351</v>
      </c>
    </row>
    <row r="2503" s="2" customFormat="true" ht="22.5" customHeight="true" spans="1:7">
      <c r="A2503" s="6">
        <f>2501</f>
        <v>2501</v>
      </c>
      <c r="B2503" s="6" t="s">
        <v>2468</v>
      </c>
      <c r="C2503" s="6" t="s">
        <v>15</v>
      </c>
      <c r="D2503" s="6" t="s">
        <v>149</v>
      </c>
      <c r="E2503" s="6" t="s">
        <v>79</v>
      </c>
      <c r="F2503" s="6">
        <v>2</v>
      </c>
      <c r="G2503" s="6">
        <v>951</v>
      </c>
    </row>
    <row r="2504" s="2" customFormat="true" ht="22.5" customHeight="true" spans="1:7">
      <c r="A2504" s="6">
        <f>2502</f>
        <v>2502</v>
      </c>
      <c r="B2504" s="6" t="s">
        <v>2469</v>
      </c>
      <c r="C2504" s="6" t="s">
        <v>9</v>
      </c>
      <c r="D2504" s="6" t="s">
        <v>67</v>
      </c>
      <c r="E2504" s="6" t="s">
        <v>79</v>
      </c>
      <c r="F2504" s="6">
        <v>1</v>
      </c>
      <c r="G2504" s="6">
        <v>505</v>
      </c>
    </row>
    <row r="2505" s="2" customFormat="true" ht="22.5" customHeight="true" spans="1:7">
      <c r="A2505" s="6">
        <f>2503</f>
        <v>2503</v>
      </c>
      <c r="B2505" s="6" t="s">
        <v>2470</v>
      </c>
      <c r="C2505" s="6" t="s">
        <v>15</v>
      </c>
      <c r="D2505" s="6" t="s">
        <v>49</v>
      </c>
      <c r="E2505" s="6" t="s">
        <v>17</v>
      </c>
      <c r="F2505" s="6">
        <v>1</v>
      </c>
      <c r="G2505" s="6">
        <v>656</v>
      </c>
    </row>
    <row r="2506" s="2" customFormat="true" ht="22.5" customHeight="true" spans="1:7">
      <c r="A2506" s="6">
        <f>2504</f>
        <v>2504</v>
      </c>
      <c r="B2506" s="6" t="s">
        <v>2471</v>
      </c>
      <c r="C2506" s="6" t="s">
        <v>15</v>
      </c>
      <c r="D2506" s="6" t="s">
        <v>280</v>
      </c>
      <c r="E2506" s="6" t="s">
        <v>17</v>
      </c>
      <c r="F2506" s="6">
        <v>1</v>
      </c>
      <c r="G2506" s="6">
        <v>627</v>
      </c>
    </row>
    <row r="2507" s="2" customFormat="true" ht="22.5" customHeight="true" spans="1:7">
      <c r="A2507" s="6">
        <f>2505</f>
        <v>2505</v>
      </c>
      <c r="B2507" s="6" t="s">
        <v>2472</v>
      </c>
      <c r="C2507" s="6" t="s">
        <v>9</v>
      </c>
      <c r="D2507" s="6" t="s">
        <v>202</v>
      </c>
      <c r="E2507" s="6" t="s">
        <v>17</v>
      </c>
      <c r="F2507" s="6">
        <v>2</v>
      </c>
      <c r="G2507" s="6">
        <v>1265</v>
      </c>
    </row>
    <row r="2508" s="2" customFormat="true" ht="22.5" customHeight="true" spans="1:7">
      <c r="A2508" s="6">
        <f>2506</f>
        <v>2506</v>
      </c>
      <c r="B2508" s="6" t="s">
        <v>2473</v>
      </c>
      <c r="C2508" s="6" t="s">
        <v>9</v>
      </c>
      <c r="D2508" s="6" t="s">
        <v>239</v>
      </c>
      <c r="E2508" s="6" t="s">
        <v>17</v>
      </c>
      <c r="F2508" s="6">
        <v>2</v>
      </c>
      <c r="G2508" s="6">
        <v>1178</v>
      </c>
    </row>
    <row r="2509" s="2" customFormat="true" ht="22.5" customHeight="true" spans="1:7">
      <c r="A2509" s="6">
        <f>2507</f>
        <v>2507</v>
      </c>
      <c r="B2509" s="6" t="s">
        <v>2474</v>
      </c>
      <c r="C2509" s="6" t="s">
        <v>15</v>
      </c>
      <c r="D2509" s="6" t="s">
        <v>167</v>
      </c>
      <c r="E2509" s="6" t="s">
        <v>17</v>
      </c>
      <c r="F2509" s="6">
        <v>1</v>
      </c>
      <c r="G2509" s="6">
        <v>627</v>
      </c>
    </row>
    <row r="2510" s="2" customFormat="true" ht="22.5" customHeight="true" spans="1:7">
      <c r="A2510" s="6">
        <f>2508</f>
        <v>2508</v>
      </c>
      <c r="B2510" s="6" t="s">
        <v>2475</v>
      </c>
      <c r="C2510" s="6" t="s">
        <v>9</v>
      </c>
      <c r="D2510" s="6" t="s">
        <v>202</v>
      </c>
      <c r="E2510" s="6" t="s">
        <v>11</v>
      </c>
      <c r="F2510" s="6">
        <v>1</v>
      </c>
      <c r="G2510" s="6">
        <v>582</v>
      </c>
    </row>
    <row r="2511" s="2" customFormat="true" ht="22.5" customHeight="true" spans="1:7">
      <c r="A2511" s="6">
        <f>2509</f>
        <v>2509</v>
      </c>
      <c r="B2511" s="6" t="s">
        <v>2476</v>
      </c>
      <c r="C2511" s="6" t="s">
        <v>15</v>
      </c>
      <c r="D2511" s="6" t="s">
        <v>270</v>
      </c>
      <c r="E2511" s="6" t="s">
        <v>17</v>
      </c>
      <c r="F2511" s="6">
        <v>1</v>
      </c>
      <c r="G2511" s="6">
        <v>627</v>
      </c>
    </row>
    <row r="2512" s="2" customFormat="true" ht="22.5" customHeight="true" spans="1:7">
      <c r="A2512" s="6">
        <f>2510</f>
        <v>2510</v>
      </c>
      <c r="B2512" s="6" t="s">
        <v>2477</v>
      </c>
      <c r="C2512" s="6" t="s">
        <v>9</v>
      </c>
      <c r="D2512" s="6" t="s">
        <v>222</v>
      </c>
      <c r="E2512" s="6" t="s">
        <v>17</v>
      </c>
      <c r="F2512" s="6">
        <v>1</v>
      </c>
      <c r="G2512" s="6">
        <v>627</v>
      </c>
    </row>
    <row r="2513" s="2" customFormat="true" ht="22.5" customHeight="true" spans="1:7">
      <c r="A2513" s="6">
        <f>2511</f>
        <v>2511</v>
      </c>
      <c r="B2513" s="6" t="s">
        <v>2478</v>
      </c>
      <c r="C2513" s="6" t="s">
        <v>15</v>
      </c>
      <c r="D2513" s="6" t="s">
        <v>129</v>
      </c>
      <c r="E2513" s="6" t="s">
        <v>11</v>
      </c>
      <c r="F2513" s="6">
        <v>1</v>
      </c>
      <c r="G2513" s="6">
        <v>551</v>
      </c>
    </row>
    <row r="2514" s="2" customFormat="true" ht="22.5" customHeight="true" spans="1:7">
      <c r="A2514" s="6">
        <f>2512</f>
        <v>2512</v>
      </c>
      <c r="B2514" s="6" t="s">
        <v>2479</v>
      </c>
      <c r="C2514" s="6" t="s">
        <v>9</v>
      </c>
      <c r="D2514" s="6" t="s">
        <v>16</v>
      </c>
      <c r="E2514" s="6" t="s">
        <v>11</v>
      </c>
      <c r="F2514" s="6">
        <v>1</v>
      </c>
      <c r="G2514" s="6">
        <v>594</v>
      </c>
    </row>
    <row r="2515" s="2" customFormat="true" ht="22.5" customHeight="true" spans="1:7">
      <c r="A2515" s="6">
        <f>2513</f>
        <v>2513</v>
      </c>
      <c r="B2515" s="6" t="s">
        <v>1230</v>
      </c>
      <c r="C2515" s="6" t="s">
        <v>9</v>
      </c>
      <c r="D2515" s="6" t="s">
        <v>260</v>
      </c>
      <c r="E2515" s="6" t="s">
        <v>17</v>
      </c>
      <c r="F2515" s="6">
        <v>1</v>
      </c>
      <c r="G2515" s="6">
        <v>627</v>
      </c>
    </row>
    <row r="2516" s="2" customFormat="true" ht="22.5" customHeight="true" spans="1:7">
      <c r="A2516" s="6">
        <f>2514</f>
        <v>2514</v>
      </c>
      <c r="B2516" s="6" t="s">
        <v>2480</v>
      </c>
      <c r="C2516" s="6" t="s">
        <v>9</v>
      </c>
      <c r="D2516" s="6" t="s">
        <v>16</v>
      </c>
      <c r="E2516" s="6" t="s">
        <v>17</v>
      </c>
      <c r="F2516" s="6">
        <v>1</v>
      </c>
      <c r="G2516" s="6">
        <v>690</v>
      </c>
    </row>
    <row r="2517" s="2" customFormat="true" ht="22.5" customHeight="true" spans="1:7">
      <c r="A2517" s="6">
        <f>2515</f>
        <v>2515</v>
      </c>
      <c r="B2517" s="6" t="s">
        <v>2481</v>
      </c>
      <c r="C2517" s="6" t="s">
        <v>9</v>
      </c>
      <c r="D2517" s="6" t="s">
        <v>133</v>
      </c>
      <c r="E2517" s="6" t="s">
        <v>17</v>
      </c>
      <c r="F2517" s="6">
        <v>2</v>
      </c>
      <c r="G2517" s="6">
        <v>1027</v>
      </c>
    </row>
    <row r="2518" s="2" customFormat="true" ht="22.5" customHeight="true" spans="1:7">
      <c r="A2518" s="6">
        <f>2516</f>
        <v>2516</v>
      </c>
      <c r="B2518" s="6" t="s">
        <v>2482</v>
      </c>
      <c r="C2518" s="6" t="s">
        <v>9</v>
      </c>
      <c r="D2518" s="6" t="s">
        <v>149</v>
      </c>
      <c r="E2518" s="6" t="s">
        <v>17</v>
      </c>
      <c r="F2518" s="6">
        <v>1</v>
      </c>
      <c r="G2518" s="6">
        <v>400</v>
      </c>
    </row>
    <row r="2519" s="2" customFormat="true" ht="22.5" customHeight="true" spans="1:7">
      <c r="A2519" s="6">
        <f>2517</f>
        <v>2517</v>
      </c>
      <c r="B2519" s="6" t="s">
        <v>2483</v>
      </c>
      <c r="C2519" s="6" t="s">
        <v>15</v>
      </c>
      <c r="D2519" s="6" t="s">
        <v>159</v>
      </c>
      <c r="E2519" s="6" t="s">
        <v>79</v>
      </c>
      <c r="F2519" s="6">
        <v>1</v>
      </c>
      <c r="G2519" s="6">
        <v>550</v>
      </c>
    </row>
    <row r="2520" s="2" customFormat="true" ht="22.5" customHeight="true" spans="1:7">
      <c r="A2520" s="6">
        <f>2518</f>
        <v>2518</v>
      </c>
      <c r="B2520" s="6" t="s">
        <v>2484</v>
      </c>
      <c r="C2520" s="6" t="s">
        <v>9</v>
      </c>
      <c r="D2520" s="6" t="s">
        <v>280</v>
      </c>
      <c r="E2520" s="6" t="s">
        <v>17</v>
      </c>
      <c r="F2520" s="6">
        <v>1</v>
      </c>
      <c r="G2520" s="6">
        <v>677</v>
      </c>
    </row>
    <row r="2521" s="2" customFormat="true" ht="22.5" customHeight="true" spans="1:7">
      <c r="A2521" s="6">
        <f>2519</f>
        <v>2519</v>
      </c>
      <c r="B2521" s="6" t="s">
        <v>2485</v>
      </c>
      <c r="C2521" s="6" t="s">
        <v>9</v>
      </c>
      <c r="D2521" s="6" t="s">
        <v>129</v>
      </c>
      <c r="E2521" s="6" t="s">
        <v>17</v>
      </c>
      <c r="F2521" s="6">
        <v>2</v>
      </c>
      <c r="G2521" s="6">
        <v>1027</v>
      </c>
    </row>
    <row r="2522" s="2" customFormat="true" ht="22.5" customHeight="true" spans="1:7">
      <c r="A2522" s="6">
        <f>2520</f>
        <v>2520</v>
      </c>
      <c r="B2522" s="6" t="s">
        <v>2486</v>
      </c>
      <c r="C2522" s="6" t="s">
        <v>9</v>
      </c>
      <c r="D2522" s="6" t="s">
        <v>167</v>
      </c>
      <c r="E2522" s="6" t="s">
        <v>17</v>
      </c>
      <c r="F2522" s="6">
        <v>2</v>
      </c>
      <c r="G2522" s="6">
        <v>1027</v>
      </c>
    </row>
    <row r="2523" s="2" customFormat="true" ht="22.5" customHeight="true" spans="1:7">
      <c r="A2523" s="6">
        <f>2521</f>
        <v>2521</v>
      </c>
      <c r="B2523" s="6" t="s">
        <v>2487</v>
      </c>
      <c r="C2523" s="6" t="s">
        <v>15</v>
      </c>
      <c r="D2523" s="6" t="s">
        <v>416</v>
      </c>
      <c r="E2523" s="6" t="s">
        <v>17</v>
      </c>
      <c r="F2523" s="6">
        <v>1</v>
      </c>
      <c r="G2523" s="6">
        <v>627</v>
      </c>
    </row>
    <row r="2524" s="2" customFormat="true" ht="22.5" customHeight="true" spans="1:7">
      <c r="A2524" s="6">
        <f>2522</f>
        <v>2522</v>
      </c>
      <c r="B2524" s="6" t="s">
        <v>2488</v>
      </c>
      <c r="C2524" s="6" t="s">
        <v>15</v>
      </c>
      <c r="D2524" s="6" t="s">
        <v>260</v>
      </c>
      <c r="E2524" s="6" t="s">
        <v>17</v>
      </c>
      <c r="F2524" s="6">
        <v>1</v>
      </c>
      <c r="G2524" s="6">
        <v>677</v>
      </c>
    </row>
    <row r="2525" s="2" customFormat="true" ht="22.5" customHeight="true" spans="1:7">
      <c r="A2525" s="6">
        <f>2523</f>
        <v>2523</v>
      </c>
      <c r="B2525" s="6" t="s">
        <v>2489</v>
      </c>
      <c r="C2525" s="6" t="s">
        <v>15</v>
      </c>
      <c r="D2525" s="6" t="s">
        <v>146</v>
      </c>
      <c r="E2525" s="6" t="s">
        <v>11</v>
      </c>
      <c r="F2525" s="6">
        <v>2</v>
      </c>
      <c r="G2525" s="6">
        <v>1102</v>
      </c>
    </row>
    <row r="2526" s="2" customFormat="true" ht="22.5" customHeight="true" spans="1:7">
      <c r="A2526" s="6">
        <f>2524</f>
        <v>2524</v>
      </c>
      <c r="B2526" s="6" t="s">
        <v>2490</v>
      </c>
      <c r="C2526" s="6" t="s">
        <v>15</v>
      </c>
      <c r="D2526" s="6" t="s">
        <v>161</v>
      </c>
      <c r="E2526" s="6" t="s">
        <v>17</v>
      </c>
      <c r="F2526" s="6">
        <v>1</v>
      </c>
      <c r="G2526" s="6">
        <v>627</v>
      </c>
    </row>
    <row r="2527" s="2" customFormat="true" ht="22.5" customHeight="true" spans="1:7">
      <c r="A2527" s="6">
        <f>2525</f>
        <v>2525</v>
      </c>
      <c r="B2527" s="6" t="s">
        <v>2491</v>
      </c>
      <c r="C2527" s="6" t="s">
        <v>15</v>
      </c>
      <c r="D2527" s="6" t="s">
        <v>143</v>
      </c>
      <c r="E2527" s="6" t="s">
        <v>17</v>
      </c>
      <c r="F2527" s="6">
        <v>4</v>
      </c>
      <c r="G2527" s="6">
        <v>1978</v>
      </c>
    </row>
    <row r="2528" s="2" customFormat="true" ht="22.5" customHeight="true" spans="1:7">
      <c r="A2528" s="6">
        <f>2526</f>
        <v>2526</v>
      </c>
      <c r="B2528" s="6" t="s">
        <v>624</v>
      </c>
      <c r="C2528" s="6" t="s">
        <v>9</v>
      </c>
      <c r="D2528" s="6" t="s">
        <v>19</v>
      </c>
      <c r="E2528" s="6" t="s">
        <v>17</v>
      </c>
      <c r="F2528" s="6">
        <v>1</v>
      </c>
      <c r="G2528" s="6">
        <v>626</v>
      </c>
    </row>
    <row r="2529" s="2" customFormat="true" ht="22.5" customHeight="true" spans="1:7">
      <c r="A2529" s="6">
        <f>2527</f>
        <v>2527</v>
      </c>
      <c r="B2529" s="6" t="s">
        <v>2492</v>
      </c>
      <c r="C2529" s="6" t="s">
        <v>9</v>
      </c>
      <c r="D2529" s="6" t="s">
        <v>222</v>
      </c>
      <c r="E2529" s="6" t="s">
        <v>17</v>
      </c>
      <c r="F2529" s="6">
        <v>4</v>
      </c>
      <c r="G2529" s="6">
        <v>1978</v>
      </c>
    </row>
    <row r="2530" s="2" customFormat="true" ht="22.5" customHeight="true" spans="1:7">
      <c r="A2530" s="6">
        <f>2528</f>
        <v>2528</v>
      </c>
      <c r="B2530" s="6" t="s">
        <v>2493</v>
      </c>
      <c r="C2530" s="6" t="s">
        <v>9</v>
      </c>
      <c r="D2530" s="6" t="s">
        <v>27</v>
      </c>
      <c r="E2530" s="6" t="s">
        <v>11</v>
      </c>
      <c r="F2530" s="6">
        <v>2</v>
      </c>
      <c r="G2530" s="6">
        <v>1294</v>
      </c>
    </row>
    <row r="2531" s="2" customFormat="true" ht="22.5" customHeight="true" spans="1:7">
      <c r="A2531" s="6">
        <f>2529</f>
        <v>2529</v>
      </c>
      <c r="B2531" s="6" t="s">
        <v>2494</v>
      </c>
      <c r="C2531" s="6" t="s">
        <v>15</v>
      </c>
      <c r="D2531" s="6" t="s">
        <v>169</v>
      </c>
      <c r="E2531" s="6" t="s">
        <v>17</v>
      </c>
      <c r="F2531" s="6">
        <v>2</v>
      </c>
      <c r="G2531" s="6">
        <v>1178</v>
      </c>
    </row>
    <row r="2532" s="2" customFormat="true" ht="22.5" customHeight="true" spans="1:7">
      <c r="A2532" s="6">
        <f>2530</f>
        <v>2530</v>
      </c>
      <c r="B2532" s="6" t="s">
        <v>2495</v>
      </c>
      <c r="C2532" s="6" t="s">
        <v>15</v>
      </c>
      <c r="D2532" s="6" t="s">
        <v>164</v>
      </c>
      <c r="E2532" s="6" t="s">
        <v>17</v>
      </c>
      <c r="F2532" s="6">
        <v>2</v>
      </c>
      <c r="G2532" s="6">
        <v>1027</v>
      </c>
    </row>
    <row r="2533" s="2" customFormat="true" ht="22.5" customHeight="true" spans="1:7">
      <c r="A2533" s="6">
        <f>2531</f>
        <v>2531</v>
      </c>
      <c r="B2533" s="6" t="s">
        <v>2496</v>
      </c>
      <c r="C2533" s="6" t="s">
        <v>9</v>
      </c>
      <c r="D2533" s="6" t="s">
        <v>192</v>
      </c>
      <c r="E2533" s="6" t="s">
        <v>17</v>
      </c>
      <c r="F2533" s="6">
        <v>1</v>
      </c>
      <c r="G2533" s="6">
        <v>665</v>
      </c>
    </row>
    <row r="2534" s="2" customFormat="true" ht="22.5" customHeight="true" spans="1:7">
      <c r="A2534" s="6">
        <f>2532</f>
        <v>2532</v>
      </c>
      <c r="B2534" s="6" t="s">
        <v>2497</v>
      </c>
      <c r="C2534" s="6" t="s">
        <v>9</v>
      </c>
      <c r="D2534" s="6" t="s">
        <v>169</v>
      </c>
      <c r="E2534" s="6" t="s">
        <v>17</v>
      </c>
      <c r="F2534" s="6">
        <v>2</v>
      </c>
      <c r="G2534" s="6">
        <v>1178</v>
      </c>
    </row>
    <row r="2535" s="2" customFormat="true" ht="22.5" customHeight="true" spans="1:7">
      <c r="A2535" s="6">
        <f>2533</f>
        <v>2533</v>
      </c>
      <c r="B2535" s="6" t="s">
        <v>2498</v>
      </c>
      <c r="C2535" s="6" t="s">
        <v>15</v>
      </c>
      <c r="D2535" s="6" t="s">
        <v>143</v>
      </c>
      <c r="E2535" s="6" t="s">
        <v>17</v>
      </c>
      <c r="F2535" s="6">
        <v>1</v>
      </c>
      <c r="G2535" s="6">
        <v>627</v>
      </c>
    </row>
    <row r="2536" s="2" customFormat="true" ht="22.5" customHeight="true" spans="1:7">
      <c r="A2536" s="6">
        <f>2534</f>
        <v>2534</v>
      </c>
      <c r="B2536" s="6" t="s">
        <v>2499</v>
      </c>
      <c r="C2536" s="6" t="s">
        <v>9</v>
      </c>
      <c r="D2536" s="6" t="s">
        <v>136</v>
      </c>
      <c r="E2536" s="6" t="s">
        <v>17</v>
      </c>
      <c r="F2536" s="6">
        <v>1</v>
      </c>
      <c r="G2536" s="6">
        <v>690</v>
      </c>
    </row>
    <row r="2537" s="2" customFormat="true" ht="22.5" customHeight="true" spans="1:7">
      <c r="A2537" s="6">
        <f>2535</f>
        <v>2535</v>
      </c>
      <c r="B2537" s="6" t="s">
        <v>2500</v>
      </c>
      <c r="C2537" s="6" t="s">
        <v>15</v>
      </c>
      <c r="D2537" s="6" t="s">
        <v>161</v>
      </c>
      <c r="E2537" s="6" t="s">
        <v>17</v>
      </c>
      <c r="F2537" s="6">
        <v>3</v>
      </c>
      <c r="G2537" s="6">
        <v>1502</v>
      </c>
    </row>
    <row r="2538" s="2" customFormat="true" ht="22.5" customHeight="true" spans="1:7">
      <c r="A2538" s="6">
        <f>2536</f>
        <v>2536</v>
      </c>
      <c r="B2538" s="6" t="s">
        <v>2501</v>
      </c>
      <c r="C2538" s="6" t="s">
        <v>9</v>
      </c>
      <c r="D2538" s="6" t="s">
        <v>19</v>
      </c>
      <c r="E2538" s="6" t="s">
        <v>17</v>
      </c>
      <c r="F2538" s="6">
        <v>1</v>
      </c>
      <c r="G2538" s="6">
        <v>632</v>
      </c>
    </row>
    <row r="2539" s="2" customFormat="true" ht="22.5" customHeight="true" spans="1:7">
      <c r="A2539" s="6">
        <f>2537</f>
        <v>2537</v>
      </c>
      <c r="B2539" s="6" t="s">
        <v>2502</v>
      </c>
      <c r="C2539" s="6" t="s">
        <v>9</v>
      </c>
      <c r="D2539" s="6" t="s">
        <v>180</v>
      </c>
      <c r="E2539" s="6" t="s">
        <v>17</v>
      </c>
      <c r="F2539" s="6">
        <v>3</v>
      </c>
      <c r="G2539" s="6">
        <v>1502</v>
      </c>
    </row>
    <row r="2540" s="2" customFormat="true" ht="22.5" customHeight="true" spans="1:7">
      <c r="A2540" s="6">
        <f>2538</f>
        <v>2538</v>
      </c>
      <c r="B2540" s="6" t="s">
        <v>2503</v>
      </c>
      <c r="C2540" s="6" t="s">
        <v>15</v>
      </c>
      <c r="D2540" s="6" t="s">
        <v>202</v>
      </c>
      <c r="E2540" s="6" t="s">
        <v>11</v>
      </c>
      <c r="F2540" s="6">
        <v>3</v>
      </c>
      <c r="G2540" s="6">
        <v>1450</v>
      </c>
    </row>
    <row r="2541" s="2" customFormat="true" ht="22.5" customHeight="true" spans="1:7">
      <c r="A2541" s="6">
        <f>2539</f>
        <v>2539</v>
      </c>
      <c r="B2541" s="6" t="s">
        <v>2504</v>
      </c>
      <c r="C2541" s="6" t="s">
        <v>9</v>
      </c>
      <c r="D2541" s="6" t="s">
        <v>124</v>
      </c>
      <c r="E2541" s="6" t="s">
        <v>11</v>
      </c>
      <c r="F2541" s="6">
        <v>1</v>
      </c>
      <c r="G2541" s="6">
        <v>651</v>
      </c>
    </row>
    <row r="2542" s="2" customFormat="true" ht="22.5" customHeight="true" spans="1:7">
      <c r="A2542" s="6">
        <f>2540</f>
        <v>2540</v>
      </c>
      <c r="B2542" s="6" t="s">
        <v>2505</v>
      </c>
      <c r="C2542" s="6" t="s">
        <v>15</v>
      </c>
      <c r="D2542" s="6" t="s">
        <v>122</v>
      </c>
      <c r="E2542" s="6" t="s">
        <v>11</v>
      </c>
      <c r="F2542" s="6">
        <v>1</v>
      </c>
      <c r="G2542" s="6">
        <v>656</v>
      </c>
    </row>
    <row r="2543" s="2" customFormat="true" ht="22.5" customHeight="true" spans="1:7">
      <c r="A2543" s="6">
        <f>2541</f>
        <v>2541</v>
      </c>
      <c r="B2543" s="6" t="s">
        <v>2506</v>
      </c>
      <c r="C2543" s="6" t="s">
        <v>15</v>
      </c>
      <c r="D2543" s="6" t="s">
        <v>164</v>
      </c>
      <c r="E2543" s="6" t="s">
        <v>17</v>
      </c>
      <c r="F2543" s="6">
        <v>1</v>
      </c>
      <c r="G2543" s="6">
        <v>551</v>
      </c>
    </row>
    <row r="2544" s="2" customFormat="true" ht="22.5" customHeight="true" spans="1:7">
      <c r="A2544" s="6">
        <f>2542</f>
        <v>2542</v>
      </c>
      <c r="B2544" s="6" t="s">
        <v>2507</v>
      </c>
      <c r="C2544" s="6" t="s">
        <v>9</v>
      </c>
      <c r="D2544" s="6" t="s">
        <v>180</v>
      </c>
      <c r="E2544" s="6" t="s">
        <v>17</v>
      </c>
      <c r="F2544" s="6">
        <v>1</v>
      </c>
      <c r="G2544" s="6">
        <v>627</v>
      </c>
    </row>
    <row r="2545" s="2" customFormat="true" ht="22.5" customHeight="true" spans="1:7">
      <c r="A2545" s="6">
        <f>2543</f>
        <v>2543</v>
      </c>
      <c r="B2545" s="6" t="s">
        <v>82</v>
      </c>
      <c r="C2545" s="6" t="s">
        <v>15</v>
      </c>
      <c r="D2545" s="6" t="s">
        <v>27</v>
      </c>
      <c r="E2545" s="6" t="s">
        <v>17</v>
      </c>
      <c r="F2545" s="6">
        <v>1</v>
      </c>
      <c r="G2545" s="6">
        <v>636</v>
      </c>
    </row>
    <row r="2546" s="2" customFormat="true" ht="22.5" customHeight="true" spans="1:7">
      <c r="A2546" s="6">
        <f>2544</f>
        <v>2544</v>
      </c>
      <c r="B2546" s="6" t="s">
        <v>2508</v>
      </c>
      <c r="C2546" s="6" t="s">
        <v>15</v>
      </c>
      <c r="D2546" s="6" t="s">
        <v>159</v>
      </c>
      <c r="E2546" s="6" t="s">
        <v>17</v>
      </c>
      <c r="F2546" s="6">
        <v>2</v>
      </c>
      <c r="G2546" s="6">
        <v>1102</v>
      </c>
    </row>
    <row r="2547" s="2" customFormat="true" ht="22.5" customHeight="true" spans="1:7">
      <c r="A2547" s="6">
        <f>2545</f>
        <v>2545</v>
      </c>
      <c r="B2547" s="6" t="s">
        <v>2509</v>
      </c>
      <c r="C2547" s="6" t="s">
        <v>9</v>
      </c>
      <c r="D2547" s="6" t="s">
        <v>270</v>
      </c>
      <c r="E2547" s="6" t="s">
        <v>17</v>
      </c>
      <c r="F2547" s="6">
        <v>1</v>
      </c>
      <c r="G2547" s="6">
        <v>627</v>
      </c>
    </row>
    <row r="2548" s="2" customFormat="true" ht="22.5" customHeight="true" spans="1:7">
      <c r="A2548" s="6">
        <f>2546</f>
        <v>2546</v>
      </c>
      <c r="B2548" s="6" t="s">
        <v>2510</v>
      </c>
      <c r="C2548" s="6" t="s">
        <v>9</v>
      </c>
      <c r="D2548" s="6" t="s">
        <v>169</v>
      </c>
      <c r="E2548" s="6" t="s">
        <v>17</v>
      </c>
      <c r="F2548" s="6">
        <v>1</v>
      </c>
      <c r="G2548" s="6">
        <v>627</v>
      </c>
    </row>
    <row r="2549" s="2" customFormat="true" ht="22.5" customHeight="true" spans="1:7">
      <c r="A2549" s="6">
        <f>2547</f>
        <v>2547</v>
      </c>
      <c r="B2549" s="6" t="s">
        <v>2511</v>
      </c>
      <c r="C2549" s="6" t="s">
        <v>15</v>
      </c>
      <c r="D2549" s="6" t="s">
        <v>146</v>
      </c>
      <c r="E2549" s="6" t="s">
        <v>2512</v>
      </c>
      <c r="F2549" s="6">
        <v>1</v>
      </c>
      <c r="G2549" s="6">
        <v>627</v>
      </c>
    </row>
    <row r="2550" s="2" customFormat="true" ht="22.5" customHeight="true" spans="1:7">
      <c r="A2550" s="6">
        <f>2548</f>
        <v>2548</v>
      </c>
      <c r="B2550" s="6" t="s">
        <v>2513</v>
      </c>
      <c r="C2550" s="6" t="s">
        <v>9</v>
      </c>
      <c r="D2550" s="6" t="s">
        <v>129</v>
      </c>
      <c r="E2550" s="6" t="s">
        <v>11</v>
      </c>
      <c r="F2550" s="6">
        <v>2</v>
      </c>
      <c r="G2550" s="6">
        <v>1102</v>
      </c>
    </row>
    <row r="2551" s="2" customFormat="true" ht="22.5" customHeight="true" spans="1:7">
      <c r="A2551" s="6">
        <f>2549</f>
        <v>2549</v>
      </c>
      <c r="B2551" s="6" t="s">
        <v>2514</v>
      </c>
      <c r="C2551" s="6" t="s">
        <v>15</v>
      </c>
      <c r="D2551" s="6" t="s">
        <v>129</v>
      </c>
      <c r="E2551" s="6" t="s">
        <v>11</v>
      </c>
      <c r="F2551" s="6">
        <v>2</v>
      </c>
      <c r="G2551" s="6">
        <v>951</v>
      </c>
    </row>
    <row r="2552" s="2" customFormat="true" ht="22.5" customHeight="true" spans="1:7">
      <c r="A2552" s="6">
        <f>2550</f>
        <v>2550</v>
      </c>
      <c r="B2552" s="6" t="s">
        <v>242</v>
      </c>
      <c r="C2552" s="6" t="s">
        <v>15</v>
      </c>
      <c r="D2552" s="6" t="s">
        <v>49</v>
      </c>
      <c r="E2552" s="6" t="s">
        <v>17</v>
      </c>
      <c r="F2552" s="6">
        <v>1</v>
      </c>
      <c r="G2552" s="6">
        <v>626</v>
      </c>
    </row>
    <row r="2553" s="2" customFormat="true" ht="22.5" customHeight="true" spans="1:7">
      <c r="A2553" s="6">
        <f>2551</f>
        <v>2551</v>
      </c>
      <c r="B2553" s="6" t="s">
        <v>2515</v>
      </c>
      <c r="C2553" s="6" t="s">
        <v>15</v>
      </c>
      <c r="D2553" s="6" t="s">
        <v>164</v>
      </c>
      <c r="E2553" s="6" t="s">
        <v>17</v>
      </c>
      <c r="F2553" s="6">
        <v>1</v>
      </c>
      <c r="G2553" s="6">
        <v>627</v>
      </c>
    </row>
    <row r="2554" s="2" customFormat="true" ht="22.5" customHeight="true" spans="1:7">
      <c r="A2554" s="6">
        <f>2552</f>
        <v>2552</v>
      </c>
      <c r="B2554" s="6" t="s">
        <v>2516</v>
      </c>
      <c r="C2554" s="6" t="s">
        <v>9</v>
      </c>
      <c r="D2554" s="6" t="s">
        <v>182</v>
      </c>
      <c r="E2554" s="6" t="s">
        <v>17</v>
      </c>
      <c r="F2554" s="6">
        <v>1</v>
      </c>
      <c r="G2554" s="6">
        <v>690</v>
      </c>
    </row>
    <row r="2555" s="2" customFormat="true" ht="22.5" customHeight="true" spans="1:7">
      <c r="A2555" s="6">
        <f>2553</f>
        <v>2553</v>
      </c>
      <c r="B2555" s="6" t="s">
        <v>2517</v>
      </c>
      <c r="C2555" s="6" t="s">
        <v>15</v>
      </c>
      <c r="D2555" s="6" t="s">
        <v>167</v>
      </c>
      <c r="E2555" s="6" t="s">
        <v>17</v>
      </c>
      <c r="F2555" s="6">
        <v>1</v>
      </c>
      <c r="G2555" s="6">
        <v>627</v>
      </c>
    </row>
    <row r="2556" s="2" customFormat="true" ht="22.5" customHeight="true" spans="1:7">
      <c r="A2556" s="6">
        <f>2554</f>
        <v>2554</v>
      </c>
      <c r="B2556" s="6" t="s">
        <v>2518</v>
      </c>
      <c r="C2556" s="6" t="s">
        <v>9</v>
      </c>
      <c r="D2556" s="6" t="s">
        <v>270</v>
      </c>
      <c r="E2556" s="6" t="s">
        <v>17</v>
      </c>
      <c r="F2556" s="6">
        <v>3</v>
      </c>
      <c r="G2556" s="6">
        <v>1578</v>
      </c>
    </row>
    <row r="2557" s="2" customFormat="true" ht="22.5" customHeight="true" spans="1:7">
      <c r="A2557" s="6">
        <f>2555</f>
        <v>2555</v>
      </c>
      <c r="B2557" s="6" t="s">
        <v>2519</v>
      </c>
      <c r="C2557" s="6" t="s">
        <v>9</v>
      </c>
      <c r="D2557" s="6" t="s">
        <v>180</v>
      </c>
      <c r="E2557" s="6" t="s">
        <v>17</v>
      </c>
      <c r="F2557" s="6">
        <v>1</v>
      </c>
      <c r="G2557" s="6">
        <v>627</v>
      </c>
    </row>
    <row r="2558" s="2" customFormat="true" ht="22.5" customHeight="true" spans="1:7">
      <c r="A2558" s="6">
        <f>2556</f>
        <v>2556</v>
      </c>
      <c r="B2558" s="6" t="s">
        <v>2520</v>
      </c>
      <c r="C2558" s="6" t="s">
        <v>9</v>
      </c>
      <c r="D2558" s="6" t="s">
        <v>161</v>
      </c>
      <c r="E2558" s="6" t="s">
        <v>17</v>
      </c>
      <c r="F2558" s="6">
        <v>1</v>
      </c>
      <c r="G2558" s="6">
        <v>627</v>
      </c>
    </row>
    <row r="2559" s="2" customFormat="true" ht="22.5" customHeight="true" spans="1:7">
      <c r="A2559" s="6">
        <f>2557</f>
        <v>2557</v>
      </c>
      <c r="B2559" s="6" t="s">
        <v>2521</v>
      </c>
      <c r="C2559" s="6" t="s">
        <v>15</v>
      </c>
      <c r="D2559" s="6" t="s">
        <v>16</v>
      </c>
      <c r="E2559" s="6" t="s">
        <v>17</v>
      </c>
      <c r="F2559" s="6">
        <v>2</v>
      </c>
      <c r="G2559" s="6">
        <v>1103</v>
      </c>
    </row>
    <row r="2560" s="2" customFormat="true" ht="22.5" customHeight="true" spans="1:7">
      <c r="A2560" s="6">
        <f>2558</f>
        <v>2558</v>
      </c>
      <c r="B2560" s="6" t="s">
        <v>2522</v>
      </c>
      <c r="C2560" s="6" t="s">
        <v>15</v>
      </c>
      <c r="D2560" s="6" t="s">
        <v>124</v>
      </c>
      <c r="E2560" s="6" t="s">
        <v>17</v>
      </c>
      <c r="F2560" s="6">
        <v>4</v>
      </c>
      <c r="G2560" s="6">
        <v>1978</v>
      </c>
    </row>
    <row r="2561" s="2" customFormat="true" ht="22.5" customHeight="true" spans="1:7">
      <c r="A2561" s="6">
        <f>2559</f>
        <v>2559</v>
      </c>
      <c r="B2561" s="6" t="s">
        <v>2523</v>
      </c>
      <c r="C2561" s="6" t="s">
        <v>15</v>
      </c>
      <c r="D2561" s="6" t="s">
        <v>136</v>
      </c>
      <c r="E2561" s="6" t="s">
        <v>17</v>
      </c>
      <c r="F2561" s="6">
        <v>1</v>
      </c>
      <c r="G2561" s="6">
        <v>690</v>
      </c>
    </row>
    <row r="2562" s="2" customFormat="true" ht="22.5" customHeight="true" spans="1:7">
      <c r="A2562" s="6">
        <f>2560</f>
        <v>2560</v>
      </c>
      <c r="B2562" s="6" t="s">
        <v>2524</v>
      </c>
      <c r="C2562" s="6" t="s">
        <v>15</v>
      </c>
      <c r="D2562" s="6" t="s">
        <v>16</v>
      </c>
      <c r="E2562" s="6" t="s">
        <v>17</v>
      </c>
      <c r="F2562" s="6">
        <v>3</v>
      </c>
      <c r="G2562" s="6">
        <v>1878</v>
      </c>
    </row>
    <row r="2563" s="2" customFormat="true" ht="22.5" customHeight="true" spans="1:7">
      <c r="A2563" s="6">
        <f>2561</f>
        <v>2561</v>
      </c>
      <c r="B2563" s="6" t="s">
        <v>2525</v>
      </c>
      <c r="C2563" s="6" t="s">
        <v>9</v>
      </c>
      <c r="D2563" s="6" t="s">
        <v>13</v>
      </c>
      <c r="E2563" s="6" t="s">
        <v>11</v>
      </c>
      <c r="F2563" s="6">
        <v>1</v>
      </c>
      <c r="G2563" s="6">
        <v>582</v>
      </c>
    </row>
    <row r="2564" s="2" customFormat="true" ht="22.5" customHeight="true" spans="1:7">
      <c r="A2564" s="6">
        <f>2562</f>
        <v>2562</v>
      </c>
      <c r="B2564" s="6" t="s">
        <v>2526</v>
      </c>
      <c r="C2564" s="6" t="s">
        <v>9</v>
      </c>
      <c r="D2564" s="6" t="s">
        <v>416</v>
      </c>
      <c r="E2564" s="6" t="s">
        <v>11</v>
      </c>
      <c r="F2564" s="6">
        <v>1</v>
      </c>
      <c r="G2564" s="6">
        <v>601</v>
      </c>
    </row>
    <row r="2565" s="2" customFormat="true" ht="22.5" customHeight="true" spans="1:7">
      <c r="A2565" s="6">
        <f>2563</f>
        <v>2563</v>
      </c>
      <c r="B2565" s="6" t="s">
        <v>2527</v>
      </c>
      <c r="C2565" s="6" t="s">
        <v>15</v>
      </c>
      <c r="D2565" s="6" t="s">
        <v>239</v>
      </c>
      <c r="E2565" s="6" t="s">
        <v>17</v>
      </c>
      <c r="F2565" s="6">
        <v>1</v>
      </c>
      <c r="G2565" s="6">
        <v>627</v>
      </c>
    </row>
    <row r="2566" s="2" customFormat="true" ht="22.5" customHeight="true" spans="1:7">
      <c r="A2566" s="6">
        <f>2564</f>
        <v>2564</v>
      </c>
      <c r="B2566" s="6" t="s">
        <v>1734</v>
      </c>
      <c r="C2566" s="6" t="s">
        <v>15</v>
      </c>
      <c r="D2566" s="6" t="s">
        <v>180</v>
      </c>
      <c r="E2566" s="6" t="s">
        <v>17</v>
      </c>
      <c r="F2566" s="6">
        <v>2</v>
      </c>
      <c r="G2566" s="6">
        <v>1178</v>
      </c>
    </row>
    <row r="2567" s="2" customFormat="true" ht="22.5" customHeight="true" spans="1:7">
      <c r="A2567" s="6">
        <f>2565</f>
        <v>2565</v>
      </c>
      <c r="B2567" s="6" t="s">
        <v>2528</v>
      </c>
      <c r="C2567" s="6" t="s">
        <v>15</v>
      </c>
      <c r="D2567" s="6" t="s">
        <v>149</v>
      </c>
      <c r="E2567" s="6" t="s">
        <v>11</v>
      </c>
      <c r="F2567" s="6">
        <v>2</v>
      </c>
      <c r="G2567" s="6">
        <v>1102</v>
      </c>
    </row>
    <row r="2568" s="2" customFormat="true" ht="22.5" customHeight="true" spans="1:7">
      <c r="A2568" s="6">
        <f>2566</f>
        <v>2566</v>
      </c>
      <c r="B2568" s="6" t="s">
        <v>2529</v>
      </c>
      <c r="C2568" s="6" t="s">
        <v>15</v>
      </c>
      <c r="D2568" s="6" t="s">
        <v>222</v>
      </c>
      <c r="E2568" s="6" t="s">
        <v>17</v>
      </c>
      <c r="F2568" s="6">
        <v>1</v>
      </c>
      <c r="G2568" s="6">
        <v>627</v>
      </c>
    </row>
    <row r="2569" s="2" customFormat="true" ht="22.5" customHeight="true" spans="1:7">
      <c r="A2569" s="6">
        <f>2567</f>
        <v>2567</v>
      </c>
      <c r="B2569" s="6" t="s">
        <v>2530</v>
      </c>
      <c r="C2569" s="6" t="s">
        <v>15</v>
      </c>
      <c r="D2569" s="6" t="s">
        <v>239</v>
      </c>
      <c r="E2569" s="6" t="s">
        <v>17</v>
      </c>
      <c r="F2569" s="6">
        <v>2</v>
      </c>
      <c r="G2569" s="6">
        <v>1178</v>
      </c>
    </row>
    <row r="2570" s="2" customFormat="true" ht="22.5" customHeight="true" spans="1:7">
      <c r="A2570" s="6">
        <f>2568</f>
        <v>2568</v>
      </c>
      <c r="B2570" s="6" t="s">
        <v>1341</v>
      </c>
      <c r="C2570" s="6" t="s">
        <v>9</v>
      </c>
      <c r="D2570" s="6" t="s">
        <v>270</v>
      </c>
      <c r="E2570" s="6" t="s">
        <v>17</v>
      </c>
      <c r="F2570" s="6">
        <v>2</v>
      </c>
      <c r="G2570" s="6">
        <v>1051</v>
      </c>
    </row>
    <row r="2571" s="2" customFormat="true" ht="22.5" customHeight="true" spans="1:7">
      <c r="A2571" s="6">
        <f>2569</f>
        <v>2569</v>
      </c>
      <c r="B2571" s="6" t="s">
        <v>2531</v>
      </c>
      <c r="C2571" s="6" t="s">
        <v>15</v>
      </c>
      <c r="D2571" s="6" t="s">
        <v>230</v>
      </c>
      <c r="E2571" s="6" t="s">
        <v>17</v>
      </c>
      <c r="F2571" s="6">
        <v>1</v>
      </c>
      <c r="G2571" s="6">
        <v>703</v>
      </c>
    </row>
    <row r="2572" s="2" customFormat="true" ht="22.5" customHeight="true" spans="1:7">
      <c r="A2572" s="6">
        <f>2570</f>
        <v>2570</v>
      </c>
      <c r="B2572" s="6" t="s">
        <v>1223</v>
      </c>
      <c r="C2572" s="6" t="s">
        <v>9</v>
      </c>
      <c r="D2572" s="6" t="s">
        <v>260</v>
      </c>
      <c r="E2572" s="6" t="s">
        <v>17</v>
      </c>
      <c r="F2572" s="6">
        <v>1</v>
      </c>
      <c r="G2572" s="6">
        <v>627</v>
      </c>
    </row>
    <row r="2573" s="2" customFormat="true" ht="22.5" customHeight="true" spans="1:7">
      <c r="A2573" s="6">
        <f>2571</f>
        <v>2571</v>
      </c>
      <c r="B2573" s="6" t="s">
        <v>2532</v>
      </c>
      <c r="C2573" s="6" t="s">
        <v>15</v>
      </c>
      <c r="D2573" s="6" t="s">
        <v>131</v>
      </c>
      <c r="E2573" s="6" t="s">
        <v>17</v>
      </c>
      <c r="F2573" s="6">
        <v>1</v>
      </c>
      <c r="G2573" s="6">
        <v>627</v>
      </c>
    </row>
    <row r="2574" s="2" customFormat="true" ht="22.5" customHeight="true" spans="1:7">
      <c r="A2574" s="6">
        <f>2572</f>
        <v>2572</v>
      </c>
      <c r="B2574" s="6" t="s">
        <v>2533</v>
      </c>
      <c r="C2574" s="6" t="s">
        <v>9</v>
      </c>
      <c r="D2574" s="6" t="s">
        <v>192</v>
      </c>
      <c r="E2574" s="6" t="s">
        <v>17</v>
      </c>
      <c r="F2574" s="6">
        <v>1</v>
      </c>
      <c r="G2574" s="6">
        <v>690</v>
      </c>
    </row>
    <row r="2575" s="2" customFormat="true" ht="22.5" customHeight="true" spans="1:7">
      <c r="A2575" s="6">
        <f>2573</f>
        <v>2573</v>
      </c>
      <c r="B2575" s="6" t="s">
        <v>2534</v>
      </c>
      <c r="C2575" s="6" t="s">
        <v>9</v>
      </c>
      <c r="D2575" s="6" t="s">
        <v>67</v>
      </c>
      <c r="E2575" s="6" t="s">
        <v>17</v>
      </c>
      <c r="F2575" s="6">
        <v>4</v>
      </c>
      <c r="G2575" s="6">
        <v>2025</v>
      </c>
    </row>
    <row r="2576" s="2" customFormat="true" ht="22.5" customHeight="true" spans="1:7">
      <c r="A2576" s="6">
        <f>2574</f>
        <v>2574</v>
      </c>
      <c r="B2576" s="6" t="s">
        <v>2535</v>
      </c>
      <c r="C2576" s="6" t="s">
        <v>9</v>
      </c>
      <c r="D2576" s="6" t="s">
        <v>185</v>
      </c>
      <c r="E2576" s="6" t="s">
        <v>11</v>
      </c>
      <c r="F2576" s="6">
        <v>4</v>
      </c>
      <c r="G2576" s="6">
        <v>2195</v>
      </c>
    </row>
    <row r="2577" s="2" customFormat="true" ht="22.5" customHeight="true" spans="1:7">
      <c r="A2577" s="6">
        <f>2575</f>
        <v>2575</v>
      </c>
      <c r="B2577" s="6" t="s">
        <v>2536</v>
      </c>
      <c r="C2577" s="6" t="s">
        <v>9</v>
      </c>
      <c r="D2577" s="6" t="s">
        <v>159</v>
      </c>
      <c r="E2577" s="6" t="s">
        <v>17</v>
      </c>
      <c r="F2577" s="6">
        <v>3</v>
      </c>
      <c r="G2577" s="6">
        <v>1577</v>
      </c>
    </row>
    <row r="2578" s="2" customFormat="true" ht="22.5" customHeight="true" spans="1:7">
      <c r="A2578" s="6">
        <f>2576</f>
        <v>2576</v>
      </c>
      <c r="B2578" s="6" t="s">
        <v>2537</v>
      </c>
      <c r="C2578" s="6" t="s">
        <v>9</v>
      </c>
      <c r="D2578" s="6" t="s">
        <v>129</v>
      </c>
      <c r="E2578" s="6" t="s">
        <v>17</v>
      </c>
      <c r="F2578" s="6">
        <v>2</v>
      </c>
      <c r="G2578" s="6">
        <v>1127</v>
      </c>
    </row>
    <row r="2579" s="2" customFormat="true" ht="22.5" customHeight="true" spans="1:7">
      <c r="A2579" s="6">
        <f>2577</f>
        <v>2577</v>
      </c>
      <c r="B2579" s="6" t="s">
        <v>2538</v>
      </c>
      <c r="C2579" s="6" t="s">
        <v>9</v>
      </c>
      <c r="D2579" s="6" t="s">
        <v>133</v>
      </c>
      <c r="E2579" s="6" t="s">
        <v>79</v>
      </c>
      <c r="F2579" s="6">
        <v>1</v>
      </c>
      <c r="G2579" s="6">
        <v>500</v>
      </c>
    </row>
    <row r="2580" s="2" customFormat="true" ht="22.5" customHeight="true" spans="1:7">
      <c r="A2580" s="6">
        <f>2578</f>
        <v>2578</v>
      </c>
      <c r="B2580" s="6" t="s">
        <v>1973</v>
      </c>
      <c r="C2580" s="6" t="s">
        <v>9</v>
      </c>
      <c r="D2580" s="6" t="s">
        <v>280</v>
      </c>
      <c r="E2580" s="6" t="s">
        <v>17</v>
      </c>
      <c r="F2580" s="6">
        <v>1</v>
      </c>
      <c r="G2580" s="6">
        <v>627</v>
      </c>
    </row>
    <row r="2581" s="2" customFormat="true" ht="22.5" customHeight="true" spans="1:7">
      <c r="A2581" s="6">
        <f>2579</f>
        <v>2579</v>
      </c>
      <c r="B2581" s="6" t="s">
        <v>2539</v>
      </c>
      <c r="C2581" s="6" t="s">
        <v>15</v>
      </c>
      <c r="D2581" s="6" t="s">
        <v>182</v>
      </c>
      <c r="E2581" s="6" t="s">
        <v>17</v>
      </c>
      <c r="F2581" s="6">
        <v>1</v>
      </c>
      <c r="G2581" s="6">
        <v>690</v>
      </c>
    </row>
    <row r="2582" s="2" customFormat="true" ht="22.5" customHeight="true" spans="1:7">
      <c r="A2582" s="6">
        <f>2580</f>
        <v>2580</v>
      </c>
      <c r="B2582" s="6" t="s">
        <v>2540</v>
      </c>
      <c r="C2582" s="6" t="s">
        <v>9</v>
      </c>
      <c r="D2582" s="6" t="s">
        <v>16</v>
      </c>
      <c r="E2582" s="6" t="s">
        <v>17</v>
      </c>
      <c r="F2582" s="6">
        <v>3</v>
      </c>
      <c r="G2582" s="6">
        <v>1878</v>
      </c>
    </row>
    <row r="2583" s="2" customFormat="true" ht="22.5" customHeight="true" spans="1:7">
      <c r="A2583" s="6">
        <f>2581</f>
        <v>2581</v>
      </c>
      <c r="B2583" s="6" t="s">
        <v>2541</v>
      </c>
      <c r="C2583" s="6" t="s">
        <v>9</v>
      </c>
      <c r="D2583" s="6" t="s">
        <v>185</v>
      </c>
      <c r="E2583" s="6" t="s">
        <v>17</v>
      </c>
      <c r="F2583" s="6">
        <v>1</v>
      </c>
      <c r="G2583" s="6">
        <v>690</v>
      </c>
    </row>
    <row r="2584" s="2" customFormat="true" ht="22.5" customHeight="true" spans="1:7">
      <c r="A2584" s="6">
        <f>2582</f>
        <v>2582</v>
      </c>
      <c r="B2584" s="6" t="s">
        <v>2542</v>
      </c>
      <c r="C2584" s="6" t="s">
        <v>9</v>
      </c>
      <c r="D2584" s="6" t="s">
        <v>270</v>
      </c>
      <c r="E2584" s="6" t="s">
        <v>17</v>
      </c>
      <c r="F2584" s="6">
        <v>1</v>
      </c>
      <c r="G2584" s="6">
        <v>627</v>
      </c>
    </row>
    <row r="2585" s="2" customFormat="true" ht="22.5" customHeight="true" spans="1:7">
      <c r="A2585" s="6">
        <f>2583</f>
        <v>2583</v>
      </c>
      <c r="B2585" s="6" t="s">
        <v>2543</v>
      </c>
      <c r="C2585" s="6" t="s">
        <v>15</v>
      </c>
      <c r="D2585" s="6" t="s">
        <v>16</v>
      </c>
      <c r="E2585" s="6" t="s">
        <v>11</v>
      </c>
      <c r="F2585" s="6">
        <v>3</v>
      </c>
      <c r="G2585" s="6">
        <v>1601</v>
      </c>
    </row>
    <row r="2586" s="2" customFormat="true" ht="22.5" customHeight="true" spans="1:7">
      <c r="A2586" s="6">
        <f>2584</f>
        <v>2584</v>
      </c>
      <c r="B2586" s="6" t="s">
        <v>2544</v>
      </c>
      <c r="C2586" s="6" t="s">
        <v>15</v>
      </c>
      <c r="D2586" s="6" t="s">
        <v>169</v>
      </c>
      <c r="E2586" s="6" t="s">
        <v>17</v>
      </c>
      <c r="F2586" s="6">
        <v>3</v>
      </c>
      <c r="G2586" s="6">
        <v>1578</v>
      </c>
    </row>
    <row r="2587" s="2" customFormat="true" ht="22.5" customHeight="true" spans="1:7">
      <c r="A2587" s="6">
        <f>2585</f>
        <v>2585</v>
      </c>
      <c r="B2587" s="6" t="s">
        <v>2545</v>
      </c>
      <c r="C2587" s="6" t="s">
        <v>15</v>
      </c>
      <c r="D2587" s="6" t="s">
        <v>122</v>
      </c>
      <c r="E2587" s="6" t="s">
        <v>11</v>
      </c>
      <c r="F2587" s="6">
        <v>2</v>
      </c>
      <c r="G2587" s="6">
        <v>1302</v>
      </c>
    </row>
    <row r="2588" s="2" customFormat="true" ht="22.5" customHeight="true" spans="1:7">
      <c r="A2588" s="6">
        <f>2586</f>
        <v>2586</v>
      </c>
      <c r="B2588" s="6" t="s">
        <v>2546</v>
      </c>
      <c r="C2588" s="6" t="s">
        <v>9</v>
      </c>
      <c r="D2588" s="6" t="s">
        <v>133</v>
      </c>
      <c r="E2588" s="6" t="s">
        <v>17</v>
      </c>
      <c r="F2588" s="6">
        <v>4</v>
      </c>
      <c r="G2588" s="6">
        <v>1978</v>
      </c>
    </row>
    <row r="2589" s="2" customFormat="true" ht="22.5" customHeight="true" spans="1:7">
      <c r="A2589" s="6">
        <f>2587</f>
        <v>2587</v>
      </c>
      <c r="B2589" s="6" t="s">
        <v>2547</v>
      </c>
      <c r="C2589" s="6" t="s">
        <v>15</v>
      </c>
      <c r="D2589" s="6" t="s">
        <v>169</v>
      </c>
      <c r="E2589" s="6" t="s">
        <v>17</v>
      </c>
      <c r="F2589" s="6">
        <v>1</v>
      </c>
      <c r="G2589" s="6">
        <v>627</v>
      </c>
    </row>
    <row r="2590" s="2" customFormat="true" ht="22.5" customHeight="true" spans="1:7">
      <c r="A2590" s="6">
        <f>2588</f>
        <v>2588</v>
      </c>
      <c r="B2590" s="6" t="s">
        <v>2548</v>
      </c>
      <c r="C2590" s="6" t="s">
        <v>15</v>
      </c>
      <c r="D2590" s="6" t="s">
        <v>122</v>
      </c>
      <c r="E2590" s="6" t="s">
        <v>17</v>
      </c>
      <c r="F2590" s="6">
        <v>2</v>
      </c>
      <c r="G2590" s="6">
        <v>1178</v>
      </c>
    </row>
    <row r="2591" s="2" customFormat="true" ht="22.5" customHeight="true" spans="1:7">
      <c r="A2591" s="6">
        <f>2589</f>
        <v>2589</v>
      </c>
      <c r="B2591" s="6" t="s">
        <v>2549</v>
      </c>
      <c r="C2591" s="6" t="s">
        <v>9</v>
      </c>
      <c r="D2591" s="6" t="s">
        <v>149</v>
      </c>
      <c r="E2591" s="6" t="s">
        <v>17</v>
      </c>
      <c r="F2591" s="6">
        <v>2</v>
      </c>
      <c r="G2591" s="6">
        <v>1127</v>
      </c>
    </row>
    <row r="2592" s="2" customFormat="true" ht="22.5" customHeight="true" spans="1:7">
      <c r="A2592" s="6">
        <f>2590</f>
        <v>2590</v>
      </c>
      <c r="B2592" s="6" t="s">
        <v>2550</v>
      </c>
      <c r="C2592" s="6" t="s">
        <v>9</v>
      </c>
      <c r="D2592" s="6" t="s">
        <v>222</v>
      </c>
      <c r="E2592" s="6" t="s">
        <v>17</v>
      </c>
      <c r="F2592" s="6">
        <v>2</v>
      </c>
      <c r="G2592" s="6">
        <v>1127</v>
      </c>
    </row>
    <row r="2593" s="2" customFormat="true" ht="22.5" customHeight="true" spans="1:7">
      <c r="A2593" s="6">
        <f>2591</f>
        <v>2591</v>
      </c>
      <c r="B2593" s="6" t="s">
        <v>2551</v>
      </c>
      <c r="C2593" s="6" t="s">
        <v>15</v>
      </c>
      <c r="D2593" s="6" t="s">
        <v>124</v>
      </c>
      <c r="E2593" s="6" t="s">
        <v>17</v>
      </c>
      <c r="F2593" s="6">
        <v>1</v>
      </c>
      <c r="G2593" s="6">
        <v>627</v>
      </c>
    </row>
    <row r="2594" s="2" customFormat="true" ht="22.5" customHeight="true" spans="1:7">
      <c r="A2594" s="6">
        <f>2592</f>
        <v>2592</v>
      </c>
      <c r="B2594" s="6" t="s">
        <v>2552</v>
      </c>
      <c r="C2594" s="6" t="s">
        <v>9</v>
      </c>
      <c r="D2594" s="6" t="s">
        <v>122</v>
      </c>
      <c r="E2594" s="6" t="s">
        <v>17</v>
      </c>
      <c r="F2594" s="6">
        <v>1</v>
      </c>
      <c r="G2594" s="6">
        <v>627</v>
      </c>
    </row>
    <row r="2595" s="2" customFormat="true" ht="22.5" customHeight="true" spans="1:7">
      <c r="A2595" s="6">
        <f>2593</f>
        <v>2593</v>
      </c>
      <c r="B2595" s="6" t="s">
        <v>2553</v>
      </c>
      <c r="C2595" s="6" t="s">
        <v>9</v>
      </c>
      <c r="D2595" s="6" t="s">
        <v>180</v>
      </c>
      <c r="E2595" s="6" t="s">
        <v>17</v>
      </c>
      <c r="F2595" s="6">
        <v>5</v>
      </c>
      <c r="G2595" s="6">
        <v>2529</v>
      </c>
    </row>
    <row r="2596" s="2" customFormat="true" ht="22.5" customHeight="true" spans="1:7">
      <c r="A2596" s="6">
        <f>2594</f>
        <v>2594</v>
      </c>
      <c r="B2596" s="6" t="s">
        <v>2554</v>
      </c>
      <c r="C2596" s="6" t="s">
        <v>9</v>
      </c>
      <c r="D2596" s="6" t="s">
        <v>159</v>
      </c>
      <c r="E2596" s="6" t="s">
        <v>17</v>
      </c>
      <c r="F2596" s="6">
        <v>4</v>
      </c>
      <c r="G2596" s="6">
        <v>2102</v>
      </c>
    </row>
    <row r="2597" s="2" customFormat="true" ht="22.5" customHeight="true" spans="1:7">
      <c r="A2597" s="6">
        <f>2595</f>
        <v>2595</v>
      </c>
      <c r="B2597" s="6" t="s">
        <v>2555</v>
      </c>
      <c r="C2597" s="6" t="s">
        <v>9</v>
      </c>
      <c r="D2597" s="6" t="s">
        <v>167</v>
      </c>
      <c r="E2597" s="6" t="s">
        <v>17</v>
      </c>
      <c r="F2597" s="6">
        <v>3</v>
      </c>
      <c r="G2597" s="6">
        <v>1578</v>
      </c>
    </row>
    <row r="2598" s="2" customFormat="true" ht="22.5" customHeight="true" spans="1:7">
      <c r="A2598" s="6">
        <f>2596</f>
        <v>2596</v>
      </c>
      <c r="B2598" s="6" t="s">
        <v>2556</v>
      </c>
      <c r="C2598" s="6" t="s">
        <v>9</v>
      </c>
      <c r="D2598" s="6" t="s">
        <v>202</v>
      </c>
      <c r="E2598" s="6" t="s">
        <v>17</v>
      </c>
      <c r="F2598" s="6">
        <v>1</v>
      </c>
      <c r="G2598" s="6">
        <v>656</v>
      </c>
    </row>
    <row r="2599" s="2" customFormat="true" ht="22.5" customHeight="true" spans="1:7">
      <c r="A2599" s="6">
        <f>2597</f>
        <v>2597</v>
      </c>
      <c r="B2599" s="6" t="s">
        <v>2557</v>
      </c>
      <c r="C2599" s="6" t="s">
        <v>9</v>
      </c>
      <c r="D2599" s="6" t="s">
        <v>16</v>
      </c>
      <c r="E2599" s="6" t="s">
        <v>11</v>
      </c>
      <c r="F2599" s="6">
        <v>3</v>
      </c>
      <c r="G2599" s="6">
        <v>1782</v>
      </c>
    </row>
    <row r="2600" s="2" customFormat="true" ht="22.5" customHeight="true" spans="1:7">
      <c r="A2600" s="6">
        <f>2598</f>
        <v>2598</v>
      </c>
      <c r="B2600" s="6" t="s">
        <v>2558</v>
      </c>
      <c r="C2600" s="6" t="s">
        <v>9</v>
      </c>
      <c r="D2600" s="6" t="s">
        <v>16</v>
      </c>
      <c r="E2600" s="6" t="s">
        <v>11</v>
      </c>
      <c r="F2600" s="6">
        <v>3</v>
      </c>
      <c r="G2600" s="6">
        <v>1782</v>
      </c>
    </row>
    <row r="2601" s="2" customFormat="true" ht="22.5" customHeight="true" spans="1:7">
      <c r="A2601" s="6">
        <f>2599</f>
        <v>2599</v>
      </c>
      <c r="B2601" s="6" t="s">
        <v>2559</v>
      </c>
      <c r="C2601" s="6" t="s">
        <v>15</v>
      </c>
      <c r="D2601" s="6" t="s">
        <v>230</v>
      </c>
      <c r="E2601" s="6" t="s">
        <v>17</v>
      </c>
      <c r="F2601" s="6">
        <v>1</v>
      </c>
      <c r="G2601" s="6">
        <v>656</v>
      </c>
    </row>
    <row r="2602" s="2" customFormat="true" ht="22.5" customHeight="true" spans="1:7">
      <c r="A2602" s="6">
        <f>2600</f>
        <v>2600</v>
      </c>
      <c r="B2602" s="6" t="s">
        <v>940</v>
      </c>
      <c r="C2602" s="6" t="s">
        <v>9</v>
      </c>
      <c r="D2602" s="6" t="s">
        <v>416</v>
      </c>
      <c r="E2602" s="6" t="s">
        <v>17</v>
      </c>
      <c r="F2602" s="6">
        <v>3</v>
      </c>
      <c r="G2602" s="6">
        <v>1729</v>
      </c>
    </row>
    <row r="2603" s="2" customFormat="true" ht="22.5" customHeight="true" spans="1:7">
      <c r="A2603" s="6">
        <f>2601</f>
        <v>2601</v>
      </c>
      <c r="B2603" s="6" t="s">
        <v>2560</v>
      </c>
      <c r="C2603" s="6" t="s">
        <v>15</v>
      </c>
      <c r="D2603" s="6" t="s">
        <v>161</v>
      </c>
      <c r="E2603" s="6" t="s">
        <v>17</v>
      </c>
      <c r="F2603" s="6">
        <v>2</v>
      </c>
      <c r="G2603" s="6">
        <v>1178</v>
      </c>
    </row>
    <row r="2604" s="2" customFormat="true" ht="22.5" customHeight="true" spans="1:7">
      <c r="A2604" s="6">
        <f>2602</f>
        <v>2602</v>
      </c>
      <c r="B2604" s="6" t="s">
        <v>2561</v>
      </c>
      <c r="C2604" s="6" t="s">
        <v>15</v>
      </c>
      <c r="D2604" s="6" t="s">
        <v>136</v>
      </c>
      <c r="E2604" s="6" t="s">
        <v>17</v>
      </c>
      <c r="F2604" s="6">
        <v>2</v>
      </c>
      <c r="G2604" s="6">
        <v>1103</v>
      </c>
    </row>
    <row r="2605" s="2" customFormat="true" ht="22.5" customHeight="true" spans="1:7">
      <c r="A2605" s="6">
        <f>2603</f>
        <v>2603</v>
      </c>
      <c r="B2605" s="6" t="s">
        <v>2562</v>
      </c>
      <c r="C2605" s="6" t="s">
        <v>15</v>
      </c>
      <c r="D2605" s="6" t="s">
        <v>182</v>
      </c>
      <c r="E2605" s="6" t="s">
        <v>17</v>
      </c>
      <c r="F2605" s="6">
        <v>2</v>
      </c>
      <c r="G2605" s="6">
        <v>1103</v>
      </c>
    </row>
    <row r="2606" s="2" customFormat="true" ht="22.5" customHeight="true" spans="1:7">
      <c r="A2606" s="6">
        <f>2604</f>
        <v>2604</v>
      </c>
      <c r="B2606" s="6" t="s">
        <v>2563</v>
      </c>
      <c r="C2606" s="6" t="s">
        <v>15</v>
      </c>
      <c r="D2606" s="6" t="s">
        <v>16</v>
      </c>
      <c r="E2606" s="6" t="s">
        <v>11</v>
      </c>
      <c r="F2606" s="6">
        <v>1</v>
      </c>
      <c r="G2606" s="6">
        <v>594</v>
      </c>
    </row>
    <row r="2607" s="2" customFormat="true" ht="22.5" customHeight="true" spans="1:7">
      <c r="A2607" s="6">
        <f>2605</f>
        <v>2605</v>
      </c>
      <c r="B2607" s="6" t="s">
        <v>2564</v>
      </c>
      <c r="C2607" s="6" t="s">
        <v>9</v>
      </c>
      <c r="D2607" s="6" t="s">
        <v>180</v>
      </c>
      <c r="E2607" s="6" t="s">
        <v>17</v>
      </c>
      <c r="F2607" s="6">
        <v>2</v>
      </c>
      <c r="G2607" s="6">
        <v>1178</v>
      </c>
    </row>
    <row r="2608" s="2" customFormat="true" ht="22.5" customHeight="true" spans="1:7">
      <c r="A2608" s="6">
        <f>2606</f>
        <v>2606</v>
      </c>
      <c r="B2608" s="6" t="s">
        <v>2565</v>
      </c>
      <c r="C2608" s="6" t="s">
        <v>9</v>
      </c>
      <c r="D2608" s="6" t="s">
        <v>202</v>
      </c>
      <c r="E2608" s="6" t="s">
        <v>17</v>
      </c>
      <c r="F2608" s="6">
        <v>2</v>
      </c>
      <c r="G2608" s="6">
        <v>1253</v>
      </c>
    </row>
    <row r="2609" s="2" customFormat="true" ht="22.5" customHeight="true" spans="1:7">
      <c r="A2609" s="6">
        <f>2607</f>
        <v>2607</v>
      </c>
      <c r="B2609" s="6" t="s">
        <v>2566</v>
      </c>
      <c r="C2609" s="6" t="s">
        <v>15</v>
      </c>
      <c r="D2609" s="6" t="s">
        <v>136</v>
      </c>
      <c r="E2609" s="6" t="s">
        <v>17</v>
      </c>
      <c r="F2609" s="6">
        <v>1</v>
      </c>
      <c r="G2609" s="6">
        <v>690</v>
      </c>
    </row>
    <row r="2610" s="2" customFormat="true" ht="22.5" customHeight="true" spans="1:7">
      <c r="A2610" s="6">
        <f>2608</f>
        <v>2608</v>
      </c>
      <c r="B2610" s="6" t="s">
        <v>2567</v>
      </c>
      <c r="C2610" s="6" t="s">
        <v>9</v>
      </c>
      <c r="D2610" s="6" t="s">
        <v>131</v>
      </c>
      <c r="E2610" s="6" t="s">
        <v>11</v>
      </c>
      <c r="F2610" s="6">
        <v>2</v>
      </c>
      <c r="G2610" s="6">
        <v>1202</v>
      </c>
    </row>
    <row r="2611" s="2" customFormat="true" ht="22.5" customHeight="true" spans="1:7">
      <c r="A2611" s="6">
        <f>2609</f>
        <v>2609</v>
      </c>
      <c r="B2611" s="6" t="s">
        <v>2568</v>
      </c>
      <c r="C2611" s="6" t="s">
        <v>9</v>
      </c>
      <c r="D2611" s="6" t="s">
        <v>146</v>
      </c>
      <c r="E2611" s="6" t="s">
        <v>11</v>
      </c>
      <c r="F2611" s="6">
        <v>1</v>
      </c>
      <c r="G2611" s="6">
        <v>601</v>
      </c>
    </row>
    <row r="2612" s="2" customFormat="true" ht="22.5" customHeight="true" spans="1:7">
      <c r="A2612" s="6">
        <f>2610</f>
        <v>2610</v>
      </c>
      <c r="B2612" s="6" t="s">
        <v>2569</v>
      </c>
      <c r="C2612" s="6" t="s">
        <v>15</v>
      </c>
      <c r="D2612" s="6" t="s">
        <v>188</v>
      </c>
      <c r="E2612" s="6" t="s">
        <v>17</v>
      </c>
      <c r="F2612" s="6">
        <v>1</v>
      </c>
      <c r="G2612" s="6">
        <v>627</v>
      </c>
    </row>
    <row r="2613" s="2" customFormat="true" ht="22.5" customHeight="true" spans="1:7">
      <c r="A2613" s="6">
        <f>2611</f>
        <v>2611</v>
      </c>
      <c r="B2613" s="6" t="s">
        <v>2570</v>
      </c>
      <c r="C2613" s="6" t="s">
        <v>15</v>
      </c>
      <c r="D2613" s="6" t="s">
        <v>222</v>
      </c>
      <c r="E2613" s="6" t="s">
        <v>17</v>
      </c>
      <c r="F2613" s="6">
        <v>1</v>
      </c>
      <c r="G2613" s="6">
        <v>627</v>
      </c>
    </row>
    <row r="2614" s="2" customFormat="true" ht="22.5" customHeight="true" spans="1:7">
      <c r="A2614" s="6">
        <f>2612</f>
        <v>2612</v>
      </c>
      <c r="B2614" s="6" t="s">
        <v>2571</v>
      </c>
      <c r="C2614" s="6" t="s">
        <v>9</v>
      </c>
      <c r="D2614" s="6" t="s">
        <v>129</v>
      </c>
      <c r="E2614" s="6" t="s">
        <v>17</v>
      </c>
      <c r="F2614" s="6">
        <v>1</v>
      </c>
      <c r="G2614" s="6">
        <v>627</v>
      </c>
    </row>
    <row r="2615" s="2" customFormat="true" ht="22.5" customHeight="true" spans="1:7">
      <c r="A2615" s="6">
        <f>2613</f>
        <v>2613</v>
      </c>
      <c r="B2615" s="6" t="s">
        <v>2572</v>
      </c>
      <c r="C2615" s="6" t="s">
        <v>9</v>
      </c>
      <c r="D2615" s="6" t="s">
        <v>149</v>
      </c>
      <c r="E2615" s="6" t="s">
        <v>17</v>
      </c>
      <c r="F2615" s="6">
        <v>4</v>
      </c>
      <c r="G2615" s="6">
        <v>2178</v>
      </c>
    </row>
    <row r="2616" s="2" customFormat="true" ht="22.5" customHeight="true" spans="1:7">
      <c r="A2616" s="6">
        <f>2614</f>
        <v>2614</v>
      </c>
      <c r="B2616" s="6" t="s">
        <v>2573</v>
      </c>
      <c r="C2616" s="6" t="s">
        <v>9</v>
      </c>
      <c r="D2616" s="6" t="s">
        <v>182</v>
      </c>
      <c r="E2616" s="6" t="s">
        <v>17</v>
      </c>
      <c r="F2616" s="6">
        <v>2</v>
      </c>
      <c r="G2616" s="6">
        <v>1284</v>
      </c>
    </row>
    <row r="2617" s="2" customFormat="true" ht="22.5" customHeight="true" spans="1:7">
      <c r="A2617" s="6">
        <f>2615</f>
        <v>2615</v>
      </c>
      <c r="B2617" s="6" t="s">
        <v>2574</v>
      </c>
      <c r="C2617" s="6" t="s">
        <v>9</v>
      </c>
      <c r="D2617" s="6" t="s">
        <v>202</v>
      </c>
      <c r="E2617" s="6" t="s">
        <v>17</v>
      </c>
      <c r="F2617" s="6">
        <v>1</v>
      </c>
      <c r="G2617" s="6">
        <v>647</v>
      </c>
    </row>
    <row r="2618" s="2" customFormat="true" ht="22.5" customHeight="true" spans="1:7">
      <c r="A2618" s="6">
        <f>2616</f>
        <v>2616</v>
      </c>
      <c r="B2618" s="6" t="s">
        <v>2575</v>
      </c>
      <c r="C2618" s="6" t="s">
        <v>15</v>
      </c>
      <c r="D2618" s="6" t="s">
        <v>230</v>
      </c>
      <c r="E2618" s="6" t="s">
        <v>17</v>
      </c>
      <c r="F2618" s="6">
        <v>1</v>
      </c>
      <c r="G2618" s="6">
        <v>647</v>
      </c>
    </row>
    <row r="2619" s="2" customFormat="true" ht="22.5" customHeight="true" spans="1:7">
      <c r="A2619" s="6">
        <f>2617</f>
        <v>2617</v>
      </c>
      <c r="B2619" s="6" t="s">
        <v>1306</v>
      </c>
      <c r="C2619" s="6" t="s">
        <v>9</v>
      </c>
      <c r="D2619" s="6" t="s">
        <v>122</v>
      </c>
      <c r="E2619" s="6" t="s">
        <v>11</v>
      </c>
      <c r="F2619" s="6">
        <v>4</v>
      </c>
      <c r="G2619" s="6">
        <v>2102</v>
      </c>
    </row>
    <row r="2620" s="2" customFormat="true" ht="22.5" customHeight="true" spans="1:7">
      <c r="A2620" s="6">
        <f>2618</f>
        <v>2618</v>
      </c>
      <c r="B2620" s="6" t="s">
        <v>2576</v>
      </c>
      <c r="C2620" s="6" t="s">
        <v>15</v>
      </c>
      <c r="D2620" s="6" t="s">
        <v>209</v>
      </c>
      <c r="E2620" s="6" t="s">
        <v>17</v>
      </c>
      <c r="F2620" s="6">
        <v>1</v>
      </c>
      <c r="G2620" s="6">
        <v>647</v>
      </c>
    </row>
    <row r="2621" s="2" customFormat="true" ht="22.5" customHeight="true" spans="1:7">
      <c r="A2621" s="6">
        <f>2619</f>
        <v>2619</v>
      </c>
      <c r="B2621" s="6" t="s">
        <v>2577</v>
      </c>
      <c r="C2621" s="6" t="s">
        <v>15</v>
      </c>
      <c r="D2621" s="6" t="s">
        <v>19</v>
      </c>
      <c r="E2621" s="6" t="s">
        <v>17</v>
      </c>
      <c r="F2621" s="6">
        <v>2</v>
      </c>
      <c r="G2621" s="6">
        <v>1253</v>
      </c>
    </row>
    <row r="2622" s="2" customFormat="true" ht="22.5" customHeight="true" spans="1:7">
      <c r="A2622" s="6">
        <f>2620</f>
        <v>2620</v>
      </c>
      <c r="B2622" s="6" t="s">
        <v>2578</v>
      </c>
      <c r="C2622" s="6" t="s">
        <v>9</v>
      </c>
      <c r="D2622" s="6" t="s">
        <v>164</v>
      </c>
      <c r="E2622" s="6" t="s">
        <v>17</v>
      </c>
      <c r="F2622" s="6">
        <v>2</v>
      </c>
      <c r="G2622" s="6">
        <v>1178</v>
      </c>
    </row>
    <row r="2623" s="2" customFormat="true" ht="22.5" customHeight="true" spans="1:7">
      <c r="A2623" s="6">
        <f>2621</f>
        <v>2621</v>
      </c>
      <c r="B2623" s="6" t="s">
        <v>2579</v>
      </c>
      <c r="C2623" s="6" t="s">
        <v>15</v>
      </c>
      <c r="D2623" s="6" t="s">
        <v>169</v>
      </c>
      <c r="E2623" s="6" t="s">
        <v>11</v>
      </c>
      <c r="F2623" s="6">
        <v>3</v>
      </c>
      <c r="G2623" s="6">
        <v>1501</v>
      </c>
    </row>
    <row r="2624" s="2" customFormat="true" ht="22.5" customHeight="true" spans="1:7">
      <c r="A2624" s="6">
        <f>2622</f>
        <v>2622</v>
      </c>
      <c r="B2624" s="6" t="s">
        <v>2580</v>
      </c>
      <c r="C2624" s="6" t="s">
        <v>9</v>
      </c>
      <c r="D2624" s="6" t="s">
        <v>180</v>
      </c>
      <c r="E2624" s="6" t="s">
        <v>17</v>
      </c>
      <c r="F2624" s="6">
        <v>4</v>
      </c>
      <c r="G2624" s="6">
        <v>2178</v>
      </c>
    </row>
    <row r="2625" s="2" customFormat="true" ht="22.5" customHeight="true" spans="1:7">
      <c r="A2625" s="6">
        <f>2623</f>
        <v>2623</v>
      </c>
      <c r="B2625" s="6" t="s">
        <v>1593</v>
      </c>
      <c r="C2625" s="6" t="s">
        <v>15</v>
      </c>
      <c r="D2625" s="6" t="s">
        <v>185</v>
      </c>
      <c r="E2625" s="6" t="s">
        <v>17</v>
      </c>
      <c r="F2625" s="6">
        <v>3</v>
      </c>
      <c r="G2625" s="6">
        <v>1697</v>
      </c>
    </row>
    <row r="2626" s="2" customFormat="true" ht="22.5" customHeight="true" spans="1:7">
      <c r="A2626" s="6">
        <f>2624</f>
        <v>2624</v>
      </c>
      <c r="B2626" s="6" t="s">
        <v>2581</v>
      </c>
      <c r="C2626" s="6" t="s">
        <v>9</v>
      </c>
      <c r="D2626" s="6" t="s">
        <v>180</v>
      </c>
      <c r="E2626" s="6" t="s">
        <v>17</v>
      </c>
      <c r="F2626" s="6">
        <v>3</v>
      </c>
      <c r="G2626" s="6">
        <v>1578</v>
      </c>
    </row>
    <row r="2627" s="2" customFormat="true" ht="22.5" customHeight="true" spans="1:7">
      <c r="A2627" s="6">
        <f>2625</f>
        <v>2625</v>
      </c>
      <c r="B2627" s="6" t="s">
        <v>2582</v>
      </c>
      <c r="C2627" s="6" t="s">
        <v>15</v>
      </c>
      <c r="D2627" s="6" t="s">
        <v>122</v>
      </c>
      <c r="E2627" s="6" t="s">
        <v>11</v>
      </c>
      <c r="F2627" s="6">
        <v>3</v>
      </c>
      <c r="G2627" s="6">
        <v>1502</v>
      </c>
    </row>
    <row r="2628" s="2" customFormat="true" ht="22.5" customHeight="true" spans="1:7">
      <c r="A2628" s="6">
        <f>2626</f>
        <v>2626</v>
      </c>
      <c r="B2628" s="6" t="s">
        <v>2583</v>
      </c>
      <c r="C2628" s="6" t="s">
        <v>9</v>
      </c>
      <c r="D2628" s="6" t="s">
        <v>122</v>
      </c>
      <c r="E2628" s="6" t="s">
        <v>11</v>
      </c>
      <c r="F2628" s="6">
        <v>2</v>
      </c>
      <c r="G2628" s="6">
        <v>1102</v>
      </c>
    </row>
    <row r="2629" s="2" customFormat="true" ht="22.5" customHeight="true" spans="1:7">
      <c r="A2629" s="6">
        <f>2627</f>
        <v>2627</v>
      </c>
      <c r="B2629" s="6" t="s">
        <v>2584</v>
      </c>
      <c r="C2629" s="6" t="s">
        <v>9</v>
      </c>
      <c r="D2629" s="6" t="s">
        <v>188</v>
      </c>
      <c r="E2629" s="6" t="s">
        <v>11</v>
      </c>
      <c r="F2629" s="6">
        <v>2</v>
      </c>
      <c r="G2629" s="6">
        <v>1051</v>
      </c>
    </row>
    <row r="2630" s="2" customFormat="true" ht="22.5" customHeight="true" spans="1:7">
      <c r="A2630" s="6">
        <f>2628</f>
        <v>2628</v>
      </c>
      <c r="B2630" s="6" t="s">
        <v>2585</v>
      </c>
      <c r="C2630" s="6" t="s">
        <v>9</v>
      </c>
      <c r="D2630" s="6" t="s">
        <v>222</v>
      </c>
      <c r="E2630" s="6" t="s">
        <v>17</v>
      </c>
      <c r="F2630" s="6">
        <v>1</v>
      </c>
      <c r="G2630" s="6">
        <v>627</v>
      </c>
    </row>
    <row r="2631" s="2" customFormat="true" ht="22.5" customHeight="true" spans="1:7">
      <c r="A2631" s="6">
        <f>2629</f>
        <v>2629</v>
      </c>
      <c r="B2631" s="6" t="s">
        <v>2586</v>
      </c>
      <c r="C2631" s="6" t="s">
        <v>9</v>
      </c>
      <c r="D2631" s="6" t="s">
        <v>164</v>
      </c>
      <c r="E2631" s="6" t="s">
        <v>11</v>
      </c>
      <c r="F2631" s="6">
        <v>2</v>
      </c>
      <c r="G2631" s="6">
        <v>1102</v>
      </c>
    </row>
    <row r="2632" s="2" customFormat="true" ht="22.5" customHeight="true" spans="1:7">
      <c r="A2632" s="6">
        <f>2630</f>
        <v>2630</v>
      </c>
      <c r="B2632" s="6" t="s">
        <v>2587</v>
      </c>
      <c r="C2632" s="6" t="s">
        <v>9</v>
      </c>
      <c r="D2632" s="6" t="s">
        <v>149</v>
      </c>
      <c r="E2632" s="6" t="s">
        <v>17</v>
      </c>
      <c r="F2632" s="6">
        <v>1</v>
      </c>
      <c r="G2632" s="6">
        <v>627</v>
      </c>
    </row>
    <row r="2633" s="2" customFormat="true" ht="22.5" customHeight="true" spans="1:7">
      <c r="A2633" s="6">
        <f>2631</f>
        <v>2631</v>
      </c>
      <c r="B2633" s="6" t="s">
        <v>2588</v>
      </c>
      <c r="C2633" s="6" t="s">
        <v>15</v>
      </c>
      <c r="D2633" s="6" t="s">
        <v>169</v>
      </c>
      <c r="E2633" s="6" t="s">
        <v>17</v>
      </c>
      <c r="F2633" s="6">
        <v>3</v>
      </c>
      <c r="G2633" s="6">
        <v>1577</v>
      </c>
    </row>
    <row r="2634" s="2" customFormat="true" ht="22.5" customHeight="true" spans="1:7">
      <c r="A2634" s="6">
        <f>2632</f>
        <v>2632</v>
      </c>
      <c r="B2634" s="6" t="s">
        <v>2589</v>
      </c>
      <c r="C2634" s="6" t="s">
        <v>9</v>
      </c>
      <c r="D2634" s="6" t="s">
        <v>222</v>
      </c>
      <c r="E2634" s="6" t="s">
        <v>17</v>
      </c>
      <c r="F2634" s="6">
        <v>1</v>
      </c>
      <c r="G2634" s="6">
        <v>627</v>
      </c>
    </row>
    <row r="2635" s="2" customFormat="true" ht="22.5" customHeight="true" spans="1:7">
      <c r="A2635" s="6">
        <f>2633</f>
        <v>2633</v>
      </c>
      <c r="B2635" s="6" t="s">
        <v>2590</v>
      </c>
      <c r="C2635" s="6" t="s">
        <v>9</v>
      </c>
      <c r="D2635" s="6" t="s">
        <v>146</v>
      </c>
      <c r="E2635" s="6" t="s">
        <v>2512</v>
      </c>
      <c r="F2635" s="6">
        <v>1</v>
      </c>
      <c r="G2635" s="6">
        <v>627</v>
      </c>
    </row>
    <row r="2636" s="2" customFormat="true" ht="22.5" customHeight="true" spans="1:7">
      <c r="A2636" s="6">
        <f>2634</f>
        <v>2634</v>
      </c>
      <c r="B2636" s="6" t="s">
        <v>789</v>
      </c>
      <c r="C2636" s="6" t="s">
        <v>9</v>
      </c>
      <c r="D2636" s="6" t="s">
        <v>67</v>
      </c>
      <c r="E2636" s="6" t="s">
        <v>79</v>
      </c>
      <c r="F2636" s="6">
        <v>1</v>
      </c>
      <c r="G2636" s="6">
        <v>465</v>
      </c>
    </row>
    <row r="2637" s="2" customFormat="true" ht="22.5" customHeight="true" spans="1:7">
      <c r="A2637" s="6">
        <f>2635</f>
        <v>2635</v>
      </c>
      <c r="B2637" s="6" t="s">
        <v>2591</v>
      </c>
      <c r="C2637" s="6" t="s">
        <v>9</v>
      </c>
      <c r="D2637" s="6" t="s">
        <v>124</v>
      </c>
      <c r="E2637" s="6" t="s">
        <v>11</v>
      </c>
      <c r="F2637" s="6">
        <v>4</v>
      </c>
      <c r="G2637" s="6">
        <v>2604</v>
      </c>
    </row>
    <row r="2638" s="2" customFormat="true" ht="22.5" customHeight="true" spans="1:7">
      <c r="A2638" s="6">
        <f>2636</f>
        <v>2636</v>
      </c>
      <c r="B2638" s="6" t="s">
        <v>2592</v>
      </c>
      <c r="C2638" s="6" t="s">
        <v>9</v>
      </c>
      <c r="D2638" s="6" t="s">
        <v>202</v>
      </c>
      <c r="E2638" s="6" t="s">
        <v>17</v>
      </c>
      <c r="F2638" s="6">
        <v>1</v>
      </c>
      <c r="G2638" s="6">
        <v>700</v>
      </c>
    </row>
    <row r="2639" s="2" customFormat="true" ht="22.5" customHeight="true" spans="1:7">
      <c r="A2639" s="6">
        <f>2637</f>
        <v>2637</v>
      </c>
      <c r="B2639" s="6" t="s">
        <v>2593</v>
      </c>
      <c r="C2639" s="6" t="s">
        <v>9</v>
      </c>
      <c r="D2639" s="6" t="s">
        <v>49</v>
      </c>
      <c r="E2639" s="6" t="s">
        <v>11</v>
      </c>
      <c r="F2639" s="6">
        <v>1</v>
      </c>
      <c r="G2639" s="6">
        <v>597</v>
      </c>
    </row>
    <row r="2640" s="2" customFormat="true" ht="22.5" customHeight="true" spans="1:7">
      <c r="A2640" s="6">
        <f>2638</f>
        <v>2638</v>
      </c>
      <c r="B2640" s="6" t="s">
        <v>2594</v>
      </c>
      <c r="C2640" s="6" t="s">
        <v>9</v>
      </c>
      <c r="D2640" s="6" t="s">
        <v>122</v>
      </c>
      <c r="E2640" s="6" t="s">
        <v>11</v>
      </c>
      <c r="F2640" s="6">
        <v>1</v>
      </c>
      <c r="G2640" s="6">
        <v>601</v>
      </c>
    </row>
    <row r="2641" s="2" customFormat="true" ht="22.5" customHeight="true" spans="1:7">
      <c r="A2641" s="6">
        <f>2639</f>
        <v>2639</v>
      </c>
      <c r="B2641" s="6" t="s">
        <v>2595</v>
      </c>
      <c r="C2641" s="6" t="s">
        <v>15</v>
      </c>
      <c r="D2641" s="6" t="s">
        <v>143</v>
      </c>
      <c r="E2641" s="6" t="s">
        <v>11</v>
      </c>
      <c r="F2641" s="6">
        <v>3</v>
      </c>
      <c r="G2641" s="6">
        <v>1802</v>
      </c>
    </row>
    <row r="2642" s="2" customFormat="true" ht="22.5" customHeight="true" spans="1:7">
      <c r="A2642" s="6">
        <f>2640</f>
        <v>2640</v>
      </c>
      <c r="B2642" s="6" t="s">
        <v>2596</v>
      </c>
      <c r="C2642" s="6" t="s">
        <v>9</v>
      </c>
      <c r="D2642" s="6" t="s">
        <v>159</v>
      </c>
      <c r="E2642" s="6" t="s">
        <v>11</v>
      </c>
      <c r="F2642" s="6">
        <v>2</v>
      </c>
      <c r="G2642" s="6">
        <v>1102</v>
      </c>
    </row>
    <row r="2643" s="2" customFormat="true" ht="22.5" customHeight="true" spans="1:7">
      <c r="A2643" s="6">
        <f>2641</f>
        <v>2641</v>
      </c>
      <c r="B2643" s="6" t="s">
        <v>2597</v>
      </c>
      <c r="C2643" s="6" t="s">
        <v>9</v>
      </c>
      <c r="D2643" s="6" t="s">
        <v>143</v>
      </c>
      <c r="E2643" s="6" t="s">
        <v>11</v>
      </c>
      <c r="F2643" s="6">
        <v>2</v>
      </c>
      <c r="G2643" s="6">
        <v>1151</v>
      </c>
    </row>
    <row r="2644" s="2" customFormat="true" ht="22.5" customHeight="true" spans="1:7">
      <c r="A2644" s="6">
        <f>2642</f>
        <v>2642</v>
      </c>
      <c r="B2644" s="6" t="s">
        <v>660</v>
      </c>
      <c r="C2644" s="6" t="s">
        <v>9</v>
      </c>
      <c r="D2644" s="6" t="s">
        <v>122</v>
      </c>
      <c r="E2644" s="6" t="s">
        <v>17</v>
      </c>
      <c r="F2644" s="6">
        <v>2</v>
      </c>
      <c r="G2644" s="6">
        <v>1178</v>
      </c>
    </row>
    <row r="2645" s="2" customFormat="true" ht="22.5" customHeight="true" spans="1:7">
      <c r="A2645" s="6">
        <f>2643</f>
        <v>2643</v>
      </c>
      <c r="B2645" s="6" t="s">
        <v>2598</v>
      </c>
      <c r="C2645" s="6" t="s">
        <v>15</v>
      </c>
      <c r="D2645" s="6" t="s">
        <v>149</v>
      </c>
      <c r="E2645" s="6" t="s">
        <v>17</v>
      </c>
      <c r="F2645" s="6">
        <v>1</v>
      </c>
      <c r="G2645" s="6">
        <v>627</v>
      </c>
    </row>
    <row r="2646" s="2" customFormat="true" ht="22.5" customHeight="true" spans="1:7">
      <c r="A2646" s="6">
        <f>2644</f>
        <v>2644</v>
      </c>
      <c r="B2646" s="6" t="s">
        <v>2599</v>
      </c>
      <c r="C2646" s="6" t="s">
        <v>9</v>
      </c>
      <c r="D2646" s="6" t="s">
        <v>124</v>
      </c>
      <c r="E2646" s="6" t="s">
        <v>11</v>
      </c>
      <c r="F2646" s="6">
        <v>1</v>
      </c>
      <c r="G2646" s="6">
        <v>601</v>
      </c>
    </row>
    <row r="2647" s="2" customFormat="true" ht="22.5" customHeight="true" spans="1:7">
      <c r="A2647" s="6">
        <f>2645</f>
        <v>2645</v>
      </c>
      <c r="B2647" s="6" t="s">
        <v>2600</v>
      </c>
      <c r="C2647" s="6" t="s">
        <v>9</v>
      </c>
      <c r="D2647" s="6" t="s">
        <v>230</v>
      </c>
      <c r="E2647" s="6" t="s">
        <v>17</v>
      </c>
      <c r="F2647" s="6">
        <v>1</v>
      </c>
      <c r="G2647" s="6">
        <v>656</v>
      </c>
    </row>
    <row r="2648" s="2" customFormat="true" ht="22.5" customHeight="true" spans="1:7">
      <c r="A2648" s="6">
        <f>2646</f>
        <v>2646</v>
      </c>
      <c r="B2648" s="6" t="s">
        <v>2601</v>
      </c>
      <c r="C2648" s="6" t="s">
        <v>15</v>
      </c>
      <c r="D2648" s="6" t="s">
        <v>185</v>
      </c>
      <c r="E2648" s="6" t="s">
        <v>11</v>
      </c>
      <c r="F2648" s="6">
        <v>3</v>
      </c>
      <c r="G2648" s="6">
        <v>1601</v>
      </c>
    </row>
    <row r="2649" s="2" customFormat="true" ht="22.5" customHeight="true" spans="1:7">
      <c r="A2649" s="6">
        <f>2647</f>
        <v>2647</v>
      </c>
      <c r="B2649" s="6" t="s">
        <v>2602</v>
      </c>
      <c r="C2649" s="6" t="s">
        <v>9</v>
      </c>
      <c r="D2649" s="6" t="s">
        <v>169</v>
      </c>
      <c r="E2649" s="6" t="s">
        <v>17</v>
      </c>
      <c r="F2649" s="6">
        <v>4</v>
      </c>
      <c r="G2649" s="6">
        <v>2329</v>
      </c>
    </row>
    <row r="2650" s="2" customFormat="true" ht="22.5" customHeight="true" spans="1:7">
      <c r="A2650" s="6">
        <f>2648</f>
        <v>2648</v>
      </c>
      <c r="B2650" s="6" t="s">
        <v>2603</v>
      </c>
      <c r="C2650" s="6" t="s">
        <v>15</v>
      </c>
      <c r="D2650" s="6" t="s">
        <v>222</v>
      </c>
      <c r="E2650" s="6" t="s">
        <v>17</v>
      </c>
      <c r="F2650" s="6">
        <v>3</v>
      </c>
      <c r="G2650" s="6">
        <v>1728</v>
      </c>
    </row>
    <row r="2651" s="2" customFormat="true" ht="22.5" customHeight="true" spans="1:7">
      <c r="A2651" s="6">
        <f>2649</f>
        <v>2649</v>
      </c>
      <c r="B2651" s="6" t="s">
        <v>2604</v>
      </c>
      <c r="C2651" s="6" t="s">
        <v>9</v>
      </c>
      <c r="D2651" s="6" t="s">
        <v>167</v>
      </c>
      <c r="E2651" s="6" t="s">
        <v>11</v>
      </c>
      <c r="F2651" s="6">
        <v>4</v>
      </c>
      <c r="G2651" s="6">
        <v>2302</v>
      </c>
    </row>
    <row r="2652" s="2" customFormat="true" ht="22.5" customHeight="true" spans="1:7">
      <c r="A2652" s="6">
        <f>2650</f>
        <v>2650</v>
      </c>
      <c r="B2652" s="6" t="s">
        <v>2605</v>
      </c>
      <c r="C2652" s="6" t="s">
        <v>15</v>
      </c>
      <c r="D2652" s="6" t="s">
        <v>129</v>
      </c>
      <c r="E2652" s="6" t="s">
        <v>17</v>
      </c>
      <c r="F2652" s="6">
        <v>2</v>
      </c>
      <c r="G2652" s="6">
        <v>1178</v>
      </c>
    </row>
    <row r="2653" s="2" customFormat="true" ht="22.5" customHeight="true" spans="1:7">
      <c r="A2653" s="6">
        <f>2651</f>
        <v>2651</v>
      </c>
      <c r="B2653" s="6" t="s">
        <v>2606</v>
      </c>
      <c r="C2653" s="6" t="s">
        <v>9</v>
      </c>
      <c r="D2653" s="6" t="s">
        <v>167</v>
      </c>
      <c r="E2653" s="6" t="s">
        <v>17</v>
      </c>
      <c r="F2653" s="6">
        <v>2</v>
      </c>
      <c r="G2653" s="6">
        <v>1178</v>
      </c>
    </row>
    <row r="2654" s="2" customFormat="true" ht="22.5" customHeight="true" spans="1:7">
      <c r="A2654" s="6">
        <f>2652</f>
        <v>2652</v>
      </c>
      <c r="B2654" s="6" t="s">
        <v>2607</v>
      </c>
      <c r="C2654" s="6" t="s">
        <v>9</v>
      </c>
      <c r="D2654" s="6" t="s">
        <v>180</v>
      </c>
      <c r="E2654" s="6" t="s">
        <v>17</v>
      </c>
      <c r="F2654" s="6">
        <v>1</v>
      </c>
      <c r="G2654" s="6">
        <v>627</v>
      </c>
    </row>
    <row r="2655" s="2" customFormat="true" ht="22.5" customHeight="true" spans="1:7">
      <c r="A2655" s="6">
        <f>2653</f>
        <v>2653</v>
      </c>
      <c r="B2655" s="6" t="s">
        <v>2608</v>
      </c>
      <c r="C2655" s="6" t="s">
        <v>9</v>
      </c>
      <c r="D2655" s="6" t="s">
        <v>129</v>
      </c>
      <c r="E2655" s="6" t="s">
        <v>17</v>
      </c>
      <c r="F2655" s="6">
        <v>1</v>
      </c>
      <c r="G2655" s="6">
        <v>627</v>
      </c>
    </row>
    <row r="2656" s="2" customFormat="true" ht="22.5" customHeight="true" spans="1:7">
      <c r="A2656" s="6">
        <f>2654</f>
        <v>2654</v>
      </c>
      <c r="B2656" s="6" t="s">
        <v>2609</v>
      </c>
      <c r="C2656" s="6" t="s">
        <v>9</v>
      </c>
      <c r="D2656" s="6" t="s">
        <v>159</v>
      </c>
      <c r="E2656" s="6" t="s">
        <v>79</v>
      </c>
      <c r="F2656" s="6">
        <v>2</v>
      </c>
      <c r="G2656" s="6">
        <v>1100</v>
      </c>
    </row>
    <row r="2657" s="2" customFormat="true" ht="22.5" customHeight="true" spans="1:7">
      <c r="A2657" s="6">
        <f>2655</f>
        <v>2655</v>
      </c>
      <c r="B2657" s="6" t="s">
        <v>2610</v>
      </c>
      <c r="C2657" s="6" t="s">
        <v>15</v>
      </c>
      <c r="D2657" s="6" t="s">
        <v>129</v>
      </c>
      <c r="E2657" s="6" t="s">
        <v>17</v>
      </c>
      <c r="F2657" s="6">
        <v>4</v>
      </c>
      <c r="G2657" s="6">
        <v>2453</v>
      </c>
    </row>
    <row r="2658" s="2" customFormat="true" ht="22.5" customHeight="true" spans="1:7">
      <c r="A2658" s="6">
        <f>2656</f>
        <v>2656</v>
      </c>
      <c r="B2658" s="6" t="s">
        <v>2611</v>
      </c>
      <c r="C2658" s="6" t="s">
        <v>9</v>
      </c>
      <c r="D2658" s="6" t="s">
        <v>122</v>
      </c>
      <c r="E2658" s="6" t="s">
        <v>17</v>
      </c>
      <c r="F2658" s="6">
        <v>1</v>
      </c>
      <c r="G2658" s="6">
        <v>627</v>
      </c>
    </row>
    <row r="2659" s="2" customFormat="true" ht="22.5" customHeight="true" spans="1:7">
      <c r="A2659" s="6">
        <f>2657</f>
        <v>2657</v>
      </c>
      <c r="B2659" s="6" t="s">
        <v>2612</v>
      </c>
      <c r="C2659" s="6" t="s">
        <v>9</v>
      </c>
      <c r="D2659" s="6" t="s">
        <v>149</v>
      </c>
      <c r="E2659" s="6" t="s">
        <v>17</v>
      </c>
      <c r="F2659" s="6">
        <v>1</v>
      </c>
      <c r="G2659" s="6">
        <v>627</v>
      </c>
    </row>
    <row r="2660" s="2" customFormat="true" ht="22.5" customHeight="true" spans="1:7">
      <c r="A2660" s="6">
        <f>2658</f>
        <v>2658</v>
      </c>
      <c r="B2660" s="6" t="s">
        <v>2613</v>
      </c>
      <c r="C2660" s="6" t="s">
        <v>15</v>
      </c>
      <c r="D2660" s="6" t="s">
        <v>27</v>
      </c>
      <c r="E2660" s="6" t="s">
        <v>17</v>
      </c>
      <c r="F2660" s="6">
        <v>1</v>
      </c>
      <c r="G2660" s="6">
        <v>703</v>
      </c>
    </row>
    <row r="2661" s="2" customFormat="true" ht="22.5" customHeight="true" spans="1:7">
      <c r="A2661" s="6">
        <f>2659</f>
        <v>2659</v>
      </c>
      <c r="B2661" s="6" t="s">
        <v>2614</v>
      </c>
      <c r="C2661" s="6" t="s">
        <v>9</v>
      </c>
      <c r="D2661" s="6" t="s">
        <v>19</v>
      </c>
      <c r="E2661" s="6" t="s">
        <v>11</v>
      </c>
      <c r="F2661" s="6">
        <v>2</v>
      </c>
      <c r="G2661" s="6">
        <v>1097</v>
      </c>
    </row>
    <row r="2662" s="2" customFormat="true" ht="22.5" customHeight="true" spans="1:7">
      <c r="A2662" s="6">
        <f>2660</f>
        <v>2660</v>
      </c>
      <c r="B2662" s="6" t="s">
        <v>2615</v>
      </c>
      <c r="C2662" s="6" t="s">
        <v>9</v>
      </c>
      <c r="D2662" s="6" t="s">
        <v>67</v>
      </c>
      <c r="E2662" s="6" t="s">
        <v>79</v>
      </c>
      <c r="F2662" s="6">
        <v>1</v>
      </c>
      <c r="G2662" s="6">
        <v>481</v>
      </c>
    </row>
    <row r="2663" s="2" customFormat="true" ht="22.5" customHeight="true" spans="1:7">
      <c r="A2663" s="6">
        <f>2661</f>
        <v>2661</v>
      </c>
      <c r="B2663" s="6" t="s">
        <v>2616</v>
      </c>
      <c r="C2663" s="6" t="s">
        <v>9</v>
      </c>
      <c r="D2663" s="6" t="s">
        <v>35</v>
      </c>
      <c r="E2663" s="6" t="s">
        <v>17</v>
      </c>
      <c r="F2663" s="6">
        <v>1</v>
      </c>
      <c r="G2663" s="6">
        <v>656</v>
      </c>
    </row>
    <row r="2664" s="2" customFormat="true" ht="22.5" customHeight="true" spans="1:7">
      <c r="A2664" s="6">
        <f>2662</f>
        <v>2662</v>
      </c>
      <c r="B2664" s="6" t="s">
        <v>2617</v>
      </c>
      <c r="C2664" s="6" t="s">
        <v>9</v>
      </c>
      <c r="D2664" s="6" t="s">
        <v>159</v>
      </c>
      <c r="E2664" s="6" t="s">
        <v>11</v>
      </c>
      <c r="F2664" s="6">
        <v>1</v>
      </c>
      <c r="G2664" s="6">
        <v>651</v>
      </c>
    </row>
    <row r="2665" s="2" customFormat="true" ht="22.5" customHeight="true" spans="1:7">
      <c r="A2665" s="6">
        <f>2663</f>
        <v>2663</v>
      </c>
      <c r="B2665" s="6" t="s">
        <v>2618</v>
      </c>
      <c r="C2665" s="6" t="s">
        <v>9</v>
      </c>
      <c r="D2665" s="6" t="s">
        <v>122</v>
      </c>
      <c r="E2665" s="6" t="s">
        <v>11</v>
      </c>
      <c r="F2665" s="6">
        <v>2</v>
      </c>
      <c r="G2665" s="6">
        <v>1102</v>
      </c>
    </row>
    <row r="2666" s="2" customFormat="true" ht="22.5" customHeight="true" spans="1:7">
      <c r="A2666" s="6">
        <f>2664</f>
        <v>2664</v>
      </c>
      <c r="B2666" s="6" t="s">
        <v>2619</v>
      </c>
      <c r="C2666" s="6" t="s">
        <v>9</v>
      </c>
      <c r="D2666" s="6" t="s">
        <v>182</v>
      </c>
      <c r="E2666" s="6" t="s">
        <v>17</v>
      </c>
      <c r="F2666" s="6">
        <v>2</v>
      </c>
      <c r="G2666" s="6">
        <v>1284</v>
      </c>
    </row>
    <row r="2667" s="2" customFormat="true" ht="22.5" customHeight="true" spans="1:7">
      <c r="A2667" s="6">
        <f>2665</f>
        <v>2665</v>
      </c>
      <c r="B2667" s="6" t="s">
        <v>2620</v>
      </c>
      <c r="C2667" s="6" t="s">
        <v>9</v>
      </c>
      <c r="D2667" s="6" t="s">
        <v>209</v>
      </c>
      <c r="E2667" s="6" t="s">
        <v>11</v>
      </c>
      <c r="F2667" s="6">
        <v>1</v>
      </c>
      <c r="G2667" s="6">
        <v>595</v>
      </c>
    </row>
    <row r="2668" s="2" customFormat="true" ht="22.5" customHeight="true" spans="1:7">
      <c r="A2668" s="6">
        <f>2666</f>
        <v>2666</v>
      </c>
      <c r="B2668" s="6" t="s">
        <v>2621</v>
      </c>
      <c r="C2668" s="6" t="s">
        <v>9</v>
      </c>
      <c r="D2668" s="6" t="s">
        <v>146</v>
      </c>
      <c r="E2668" s="6" t="s">
        <v>17</v>
      </c>
      <c r="F2668" s="6">
        <v>2</v>
      </c>
      <c r="G2668" s="6">
        <v>1178</v>
      </c>
    </row>
    <row r="2669" s="2" customFormat="true" ht="22.5" customHeight="true" spans="1:7">
      <c r="A2669" s="6">
        <f>2667</f>
        <v>2667</v>
      </c>
      <c r="B2669" s="6" t="s">
        <v>2622</v>
      </c>
      <c r="C2669" s="6" t="s">
        <v>9</v>
      </c>
      <c r="D2669" s="6" t="s">
        <v>16</v>
      </c>
      <c r="E2669" s="6" t="s">
        <v>11</v>
      </c>
      <c r="F2669" s="6">
        <v>1</v>
      </c>
      <c r="G2669" s="6">
        <v>594</v>
      </c>
    </row>
    <row r="2670" s="2" customFormat="true" ht="22.5" customHeight="true" spans="1:7">
      <c r="A2670" s="6">
        <f>2668</f>
        <v>2668</v>
      </c>
      <c r="B2670" s="6" t="s">
        <v>2623</v>
      </c>
      <c r="C2670" s="6" t="s">
        <v>9</v>
      </c>
      <c r="D2670" s="6" t="s">
        <v>129</v>
      </c>
      <c r="E2670" s="6" t="s">
        <v>17</v>
      </c>
      <c r="F2670" s="6">
        <v>1</v>
      </c>
      <c r="G2670" s="6">
        <v>627</v>
      </c>
    </row>
    <row r="2671" s="2" customFormat="true" ht="22.5" customHeight="true" spans="1:7">
      <c r="A2671" s="6">
        <f>2669</f>
        <v>2669</v>
      </c>
      <c r="B2671" s="6" t="s">
        <v>2624</v>
      </c>
      <c r="C2671" s="6" t="s">
        <v>9</v>
      </c>
      <c r="D2671" s="6" t="s">
        <v>209</v>
      </c>
      <c r="E2671" s="6" t="s">
        <v>17</v>
      </c>
      <c r="F2671" s="6">
        <v>1</v>
      </c>
      <c r="G2671" s="6">
        <v>656</v>
      </c>
    </row>
    <row r="2672" s="2" customFormat="true" ht="22.5" customHeight="true" spans="1:7">
      <c r="A2672" s="6">
        <f>2670</f>
        <v>2670</v>
      </c>
      <c r="B2672" s="6" t="s">
        <v>2625</v>
      </c>
      <c r="C2672" s="6" t="s">
        <v>15</v>
      </c>
      <c r="D2672" s="6" t="s">
        <v>143</v>
      </c>
      <c r="E2672" s="6" t="s">
        <v>17</v>
      </c>
      <c r="F2672" s="6">
        <v>1</v>
      </c>
      <c r="G2672" s="6">
        <v>627</v>
      </c>
    </row>
    <row r="2673" s="2" customFormat="true" ht="22.5" customHeight="true" spans="1:7">
      <c r="A2673" s="6">
        <f>2671</f>
        <v>2671</v>
      </c>
      <c r="B2673" s="6" t="s">
        <v>2626</v>
      </c>
      <c r="C2673" s="6" t="s">
        <v>15</v>
      </c>
      <c r="D2673" s="6" t="s">
        <v>416</v>
      </c>
      <c r="E2673" s="6" t="s">
        <v>17</v>
      </c>
      <c r="F2673" s="6">
        <v>2</v>
      </c>
      <c r="G2673" s="6">
        <v>1127</v>
      </c>
    </row>
    <row r="2674" s="2" customFormat="true" ht="22.5" customHeight="true" spans="1:7">
      <c r="A2674" s="6">
        <f>2672</f>
        <v>2672</v>
      </c>
      <c r="B2674" s="6" t="s">
        <v>2627</v>
      </c>
      <c r="C2674" s="6" t="s">
        <v>9</v>
      </c>
      <c r="D2674" s="6" t="s">
        <v>149</v>
      </c>
      <c r="E2674" s="6" t="s">
        <v>17</v>
      </c>
      <c r="F2674" s="6">
        <v>1</v>
      </c>
      <c r="G2674" s="6">
        <v>627</v>
      </c>
    </row>
    <row r="2675" s="2" customFormat="true" ht="22.5" customHeight="true" spans="1:7">
      <c r="A2675" s="6">
        <f>2673</f>
        <v>2673</v>
      </c>
      <c r="B2675" s="6" t="s">
        <v>2628</v>
      </c>
      <c r="C2675" s="6" t="s">
        <v>9</v>
      </c>
      <c r="D2675" s="6" t="s">
        <v>117</v>
      </c>
      <c r="E2675" s="6" t="s">
        <v>17</v>
      </c>
      <c r="F2675" s="6">
        <v>4</v>
      </c>
      <c r="G2675" s="6">
        <v>2024</v>
      </c>
    </row>
    <row r="2676" s="2" customFormat="true" ht="22.5" customHeight="true" spans="1:7">
      <c r="A2676" s="6">
        <f>2674</f>
        <v>2674</v>
      </c>
      <c r="B2676" s="6" t="s">
        <v>2629</v>
      </c>
      <c r="C2676" s="6" t="s">
        <v>15</v>
      </c>
      <c r="D2676" s="6" t="s">
        <v>129</v>
      </c>
      <c r="E2676" s="6" t="s">
        <v>17</v>
      </c>
      <c r="F2676" s="6">
        <v>1</v>
      </c>
      <c r="G2676" s="6">
        <v>627</v>
      </c>
    </row>
    <row r="2677" s="2" customFormat="true" ht="22.5" customHeight="true" spans="1:7">
      <c r="A2677" s="6">
        <f>2675</f>
        <v>2675</v>
      </c>
      <c r="B2677" s="6" t="s">
        <v>2630</v>
      </c>
      <c r="C2677" s="6" t="s">
        <v>15</v>
      </c>
      <c r="D2677" s="6" t="s">
        <v>270</v>
      </c>
      <c r="E2677" s="6" t="s">
        <v>17</v>
      </c>
      <c r="F2677" s="6">
        <v>1</v>
      </c>
      <c r="G2677" s="6">
        <v>627</v>
      </c>
    </row>
    <row r="2678" s="2" customFormat="true" ht="22.5" customHeight="true" spans="1:7">
      <c r="A2678" s="6">
        <f>2676</f>
        <v>2676</v>
      </c>
      <c r="B2678" s="6" t="s">
        <v>2631</v>
      </c>
      <c r="C2678" s="6" t="s">
        <v>9</v>
      </c>
      <c r="D2678" s="6" t="s">
        <v>188</v>
      </c>
      <c r="E2678" s="6" t="s">
        <v>17</v>
      </c>
      <c r="F2678" s="6">
        <v>1</v>
      </c>
      <c r="G2678" s="6">
        <v>627</v>
      </c>
    </row>
    <row r="2679" s="2" customFormat="true" ht="22.5" customHeight="true" spans="1:7">
      <c r="A2679" s="6">
        <f>2677</f>
        <v>2677</v>
      </c>
      <c r="B2679" s="6" t="s">
        <v>2632</v>
      </c>
      <c r="C2679" s="6" t="s">
        <v>15</v>
      </c>
      <c r="D2679" s="6" t="s">
        <v>416</v>
      </c>
      <c r="E2679" s="6" t="s">
        <v>17</v>
      </c>
      <c r="F2679" s="6">
        <v>1</v>
      </c>
      <c r="G2679" s="6">
        <v>627</v>
      </c>
    </row>
    <row r="2680" s="2" customFormat="true" ht="22.5" customHeight="true" spans="1:7">
      <c r="A2680" s="6">
        <f>2678</f>
        <v>2678</v>
      </c>
      <c r="B2680" s="6" t="s">
        <v>2633</v>
      </c>
      <c r="C2680" s="6" t="s">
        <v>15</v>
      </c>
      <c r="D2680" s="6" t="s">
        <v>169</v>
      </c>
      <c r="E2680" s="6" t="s">
        <v>11</v>
      </c>
      <c r="F2680" s="6">
        <v>3</v>
      </c>
      <c r="G2680" s="6">
        <v>1651</v>
      </c>
    </row>
    <row r="2681" s="2" customFormat="true" ht="22.5" customHeight="true" spans="1:7">
      <c r="A2681" s="6">
        <f>2679</f>
        <v>2679</v>
      </c>
      <c r="B2681" s="6" t="s">
        <v>2634</v>
      </c>
      <c r="C2681" s="6" t="s">
        <v>15</v>
      </c>
      <c r="D2681" s="6" t="s">
        <v>67</v>
      </c>
      <c r="E2681" s="6" t="s">
        <v>17</v>
      </c>
      <c r="F2681" s="6">
        <v>1</v>
      </c>
      <c r="G2681" s="6">
        <v>703</v>
      </c>
    </row>
    <row r="2682" s="2" customFormat="true" ht="22.5" customHeight="true" spans="1:7">
      <c r="A2682" s="6">
        <f>2680</f>
        <v>2680</v>
      </c>
      <c r="B2682" s="6" t="s">
        <v>2635</v>
      </c>
      <c r="C2682" s="6" t="s">
        <v>9</v>
      </c>
      <c r="D2682" s="6" t="s">
        <v>180</v>
      </c>
      <c r="E2682" s="6" t="s">
        <v>17</v>
      </c>
      <c r="F2682" s="6">
        <v>4</v>
      </c>
      <c r="G2682" s="6">
        <v>2329</v>
      </c>
    </row>
    <row r="2683" s="2" customFormat="true" ht="22.5" customHeight="true" spans="1:7">
      <c r="A2683" s="6">
        <f>2681</f>
        <v>2681</v>
      </c>
      <c r="B2683" s="6" t="s">
        <v>2636</v>
      </c>
      <c r="C2683" s="6" t="s">
        <v>9</v>
      </c>
      <c r="D2683" s="6" t="s">
        <v>185</v>
      </c>
      <c r="E2683" s="6" t="s">
        <v>17</v>
      </c>
      <c r="F2683" s="6">
        <v>1</v>
      </c>
      <c r="G2683" s="6">
        <v>690</v>
      </c>
    </row>
    <row r="2684" s="2" customFormat="true" ht="22.5" customHeight="true" spans="1:7">
      <c r="A2684" s="6">
        <f>2682</f>
        <v>2682</v>
      </c>
      <c r="B2684" s="6" t="s">
        <v>2637</v>
      </c>
      <c r="C2684" s="6" t="s">
        <v>9</v>
      </c>
      <c r="D2684" s="6" t="s">
        <v>270</v>
      </c>
      <c r="E2684" s="6" t="s">
        <v>17</v>
      </c>
      <c r="F2684" s="6">
        <v>1</v>
      </c>
      <c r="G2684" s="6">
        <v>627</v>
      </c>
    </row>
    <row r="2685" s="2" customFormat="true" ht="22.5" customHeight="true" spans="1:7">
      <c r="A2685" s="6">
        <f>2683</f>
        <v>2683</v>
      </c>
      <c r="B2685" s="6" t="s">
        <v>2638</v>
      </c>
      <c r="C2685" s="6" t="s">
        <v>15</v>
      </c>
      <c r="D2685" s="6" t="s">
        <v>19</v>
      </c>
      <c r="E2685" s="6" t="s">
        <v>17</v>
      </c>
      <c r="F2685" s="6">
        <v>2</v>
      </c>
      <c r="G2685" s="6">
        <v>1253</v>
      </c>
    </row>
    <row r="2686" s="2" customFormat="true" ht="22.5" customHeight="true" spans="1:7">
      <c r="A2686" s="6">
        <f>2684</f>
        <v>2684</v>
      </c>
      <c r="B2686" s="6" t="s">
        <v>2639</v>
      </c>
      <c r="C2686" s="6" t="s">
        <v>9</v>
      </c>
      <c r="D2686" s="6" t="s">
        <v>19</v>
      </c>
      <c r="E2686" s="6" t="s">
        <v>17</v>
      </c>
      <c r="F2686" s="6">
        <v>1</v>
      </c>
      <c r="G2686" s="6">
        <v>656</v>
      </c>
    </row>
    <row r="2687" s="2" customFormat="true" ht="22.5" customHeight="true" spans="1:7">
      <c r="A2687" s="6">
        <f>2685</f>
        <v>2685</v>
      </c>
      <c r="B2687" s="6" t="s">
        <v>2640</v>
      </c>
      <c r="C2687" s="6" t="s">
        <v>9</v>
      </c>
      <c r="D2687" s="6" t="s">
        <v>35</v>
      </c>
      <c r="E2687" s="6" t="s">
        <v>17</v>
      </c>
      <c r="F2687" s="6">
        <v>1</v>
      </c>
      <c r="G2687" s="6">
        <v>697</v>
      </c>
    </row>
    <row r="2688" s="2" customFormat="true" ht="22.5" customHeight="true" spans="1:7">
      <c r="A2688" s="6">
        <f>2686</f>
        <v>2686</v>
      </c>
      <c r="B2688" s="6" t="s">
        <v>734</v>
      </c>
      <c r="C2688" s="6" t="s">
        <v>9</v>
      </c>
      <c r="D2688" s="6" t="s">
        <v>35</v>
      </c>
      <c r="E2688" s="6" t="s">
        <v>17</v>
      </c>
      <c r="F2688" s="6">
        <v>1</v>
      </c>
      <c r="G2688" s="6">
        <v>706</v>
      </c>
    </row>
    <row r="2689" s="2" customFormat="true" ht="22.5" customHeight="true" spans="1:7">
      <c r="A2689" s="6">
        <f>2687</f>
        <v>2687</v>
      </c>
      <c r="B2689" s="6" t="s">
        <v>2641</v>
      </c>
      <c r="C2689" s="6" t="s">
        <v>9</v>
      </c>
      <c r="D2689" s="6" t="s">
        <v>192</v>
      </c>
      <c r="E2689" s="6" t="s">
        <v>11</v>
      </c>
      <c r="F2689" s="6">
        <v>1</v>
      </c>
      <c r="G2689" s="6">
        <v>594</v>
      </c>
    </row>
    <row r="2690" s="2" customFormat="true" ht="22.5" customHeight="true" spans="1:7">
      <c r="A2690" s="6">
        <f>2688</f>
        <v>2688</v>
      </c>
      <c r="B2690" s="6" t="s">
        <v>2642</v>
      </c>
      <c r="C2690" s="6" t="s">
        <v>9</v>
      </c>
      <c r="D2690" s="6" t="s">
        <v>13</v>
      </c>
      <c r="E2690" s="6" t="s">
        <v>17</v>
      </c>
      <c r="F2690" s="6">
        <v>2</v>
      </c>
      <c r="G2690" s="6">
        <v>1253</v>
      </c>
    </row>
    <row r="2691" s="2" customFormat="true" ht="22.5" customHeight="true" spans="1:7">
      <c r="A2691" s="6">
        <f>2689</f>
        <v>2689</v>
      </c>
      <c r="B2691" s="6" t="s">
        <v>2643</v>
      </c>
      <c r="C2691" s="6" t="s">
        <v>9</v>
      </c>
      <c r="D2691" s="6" t="s">
        <v>35</v>
      </c>
      <c r="E2691" s="6" t="s">
        <v>11</v>
      </c>
      <c r="F2691" s="6">
        <v>1</v>
      </c>
      <c r="G2691" s="6">
        <v>597</v>
      </c>
    </row>
    <row r="2692" s="2" customFormat="true" ht="22.5" customHeight="true" spans="1:7">
      <c r="A2692" s="6">
        <f>2690</f>
        <v>2690</v>
      </c>
      <c r="B2692" s="6" t="s">
        <v>2644</v>
      </c>
      <c r="C2692" s="6" t="s">
        <v>9</v>
      </c>
      <c r="D2692" s="6" t="s">
        <v>222</v>
      </c>
      <c r="E2692" s="6" t="s">
        <v>17</v>
      </c>
      <c r="F2692" s="6">
        <v>1</v>
      </c>
      <c r="G2692" s="6">
        <v>627</v>
      </c>
    </row>
    <row r="2693" s="2" customFormat="true" ht="22.5" customHeight="true" spans="1:7">
      <c r="A2693" s="6">
        <f>2691</f>
        <v>2691</v>
      </c>
      <c r="B2693" s="6" t="s">
        <v>2645</v>
      </c>
      <c r="C2693" s="6" t="s">
        <v>15</v>
      </c>
      <c r="D2693" s="6" t="s">
        <v>13</v>
      </c>
      <c r="E2693" s="6" t="s">
        <v>11</v>
      </c>
      <c r="F2693" s="6">
        <v>2</v>
      </c>
      <c r="G2693" s="6">
        <v>1078</v>
      </c>
    </row>
    <row r="2694" s="2" customFormat="true" ht="22.5" customHeight="true" spans="1:7">
      <c r="A2694" s="6">
        <f>2692</f>
        <v>2692</v>
      </c>
      <c r="B2694" s="6" t="s">
        <v>2646</v>
      </c>
      <c r="C2694" s="6" t="s">
        <v>9</v>
      </c>
      <c r="D2694" s="6" t="s">
        <v>209</v>
      </c>
      <c r="E2694" s="6" t="s">
        <v>17</v>
      </c>
      <c r="F2694" s="6">
        <v>1</v>
      </c>
      <c r="G2694" s="6">
        <v>636</v>
      </c>
    </row>
    <row r="2695" s="2" customFormat="true" ht="22.5" customHeight="true" spans="1:7">
      <c r="A2695" s="6">
        <f>2693</f>
        <v>2693</v>
      </c>
      <c r="B2695" s="6" t="s">
        <v>2647</v>
      </c>
      <c r="C2695" s="6" t="s">
        <v>15</v>
      </c>
      <c r="D2695" s="6" t="s">
        <v>270</v>
      </c>
      <c r="E2695" s="6" t="s">
        <v>17</v>
      </c>
      <c r="F2695" s="6">
        <v>1</v>
      </c>
      <c r="G2695" s="6">
        <v>627</v>
      </c>
    </row>
    <row r="2696" s="2" customFormat="true" ht="22.5" customHeight="true" spans="1:7">
      <c r="A2696" s="6">
        <f>2694</f>
        <v>2694</v>
      </c>
      <c r="B2696" s="6" t="s">
        <v>2648</v>
      </c>
      <c r="C2696" s="6" t="s">
        <v>15</v>
      </c>
      <c r="D2696" s="6" t="s">
        <v>192</v>
      </c>
      <c r="E2696" s="6" t="s">
        <v>17</v>
      </c>
      <c r="F2696" s="6">
        <v>4</v>
      </c>
      <c r="G2696" s="6">
        <v>2387</v>
      </c>
    </row>
    <row r="2697" s="2" customFormat="true" ht="22.5" customHeight="true" spans="1:7">
      <c r="A2697" s="6">
        <f>2695</f>
        <v>2695</v>
      </c>
      <c r="B2697" s="6" t="s">
        <v>2649</v>
      </c>
      <c r="C2697" s="6" t="s">
        <v>15</v>
      </c>
      <c r="D2697" s="6" t="s">
        <v>146</v>
      </c>
      <c r="E2697" s="6" t="s">
        <v>17</v>
      </c>
      <c r="F2697" s="6">
        <v>2</v>
      </c>
      <c r="G2697" s="6">
        <v>1127</v>
      </c>
    </row>
    <row r="2698" s="2" customFormat="true" ht="22.5" customHeight="true" spans="1:7">
      <c r="A2698" s="6">
        <f>2696</f>
        <v>2696</v>
      </c>
      <c r="B2698" s="6" t="s">
        <v>2650</v>
      </c>
      <c r="C2698" s="6" t="s">
        <v>9</v>
      </c>
      <c r="D2698" s="6" t="s">
        <v>182</v>
      </c>
      <c r="E2698" s="6" t="s">
        <v>17</v>
      </c>
      <c r="F2698" s="6">
        <v>1</v>
      </c>
      <c r="G2698" s="6">
        <v>690</v>
      </c>
    </row>
    <row r="2699" s="2" customFormat="true" ht="22.5" customHeight="true" spans="1:7">
      <c r="A2699" s="6">
        <f>2697</f>
        <v>2697</v>
      </c>
      <c r="B2699" s="6" t="s">
        <v>2651</v>
      </c>
      <c r="C2699" s="6" t="s">
        <v>15</v>
      </c>
      <c r="D2699" s="6" t="s">
        <v>131</v>
      </c>
      <c r="E2699" s="6" t="s">
        <v>17</v>
      </c>
      <c r="F2699" s="6">
        <v>2</v>
      </c>
      <c r="G2699" s="6">
        <v>1178</v>
      </c>
    </row>
    <row r="2700" s="2" customFormat="true" ht="22.5" customHeight="true" spans="1:7">
      <c r="A2700" s="6">
        <f>2698</f>
        <v>2698</v>
      </c>
      <c r="B2700" s="6" t="s">
        <v>2652</v>
      </c>
      <c r="C2700" s="6" t="s">
        <v>15</v>
      </c>
      <c r="D2700" s="6" t="s">
        <v>146</v>
      </c>
      <c r="E2700" s="6" t="s">
        <v>17</v>
      </c>
      <c r="F2700" s="6">
        <v>1</v>
      </c>
      <c r="G2700" s="6">
        <v>627</v>
      </c>
    </row>
    <row r="2701" s="2" customFormat="true" ht="22.5" customHeight="true" spans="1:7">
      <c r="A2701" s="6">
        <f>2699</f>
        <v>2699</v>
      </c>
      <c r="B2701" s="6" t="s">
        <v>2653</v>
      </c>
      <c r="C2701" s="6" t="s">
        <v>15</v>
      </c>
      <c r="D2701" s="6" t="s">
        <v>222</v>
      </c>
      <c r="E2701" s="6" t="s">
        <v>17</v>
      </c>
      <c r="F2701" s="6">
        <v>4</v>
      </c>
      <c r="G2701" s="6">
        <v>2129</v>
      </c>
    </row>
    <row r="2702" s="2" customFormat="true" ht="22.5" customHeight="true" spans="1:7">
      <c r="A2702" s="6">
        <f>2700</f>
        <v>2700</v>
      </c>
      <c r="B2702" s="6" t="s">
        <v>2654</v>
      </c>
      <c r="C2702" s="6" t="s">
        <v>9</v>
      </c>
      <c r="D2702" s="6" t="s">
        <v>129</v>
      </c>
      <c r="E2702" s="6" t="s">
        <v>11</v>
      </c>
      <c r="F2702" s="6">
        <v>3</v>
      </c>
      <c r="G2702" s="6">
        <v>1651</v>
      </c>
    </row>
    <row r="2703" s="2" customFormat="true" ht="22.5" customHeight="true" spans="1:7">
      <c r="A2703" s="6">
        <f>2701</f>
        <v>2701</v>
      </c>
      <c r="B2703" s="6" t="s">
        <v>2655</v>
      </c>
      <c r="C2703" s="6" t="s">
        <v>15</v>
      </c>
      <c r="D2703" s="6" t="s">
        <v>143</v>
      </c>
      <c r="E2703" s="6" t="s">
        <v>17</v>
      </c>
      <c r="F2703" s="6">
        <v>3</v>
      </c>
      <c r="G2703" s="6">
        <v>1728</v>
      </c>
    </row>
    <row r="2704" s="2" customFormat="true" ht="22.5" customHeight="true" spans="1:7">
      <c r="A2704" s="6">
        <f>2702</f>
        <v>2702</v>
      </c>
      <c r="B2704" s="6" t="s">
        <v>2656</v>
      </c>
      <c r="C2704" s="6" t="s">
        <v>9</v>
      </c>
      <c r="D2704" s="6" t="s">
        <v>146</v>
      </c>
      <c r="E2704" s="6" t="s">
        <v>17</v>
      </c>
      <c r="F2704" s="6">
        <v>3</v>
      </c>
      <c r="G2704" s="6">
        <v>1728</v>
      </c>
    </row>
    <row r="2705" s="2" customFormat="true" ht="22.5" customHeight="true" spans="1:7">
      <c r="A2705" s="6">
        <f>2703</f>
        <v>2703</v>
      </c>
      <c r="B2705" s="6" t="s">
        <v>1292</v>
      </c>
      <c r="C2705" s="6" t="s">
        <v>9</v>
      </c>
      <c r="D2705" s="6" t="s">
        <v>260</v>
      </c>
      <c r="E2705" s="6" t="s">
        <v>11</v>
      </c>
      <c r="F2705" s="6">
        <v>1</v>
      </c>
      <c r="G2705" s="6">
        <v>551</v>
      </c>
    </row>
    <row r="2706" s="2" customFormat="true" ht="22.5" customHeight="true" spans="1:7">
      <c r="A2706" s="6">
        <f>2704</f>
        <v>2704</v>
      </c>
      <c r="B2706" s="6" t="s">
        <v>2657</v>
      </c>
      <c r="C2706" s="6" t="s">
        <v>9</v>
      </c>
      <c r="D2706" s="6" t="s">
        <v>146</v>
      </c>
      <c r="E2706" s="6" t="s">
        <v>17</v>
      </c>
      <c r="F2706" s="6">
        <v>2</v>
      </c>
      <c r="G2706" s="6">
        <v>1178</v>
      </c>
    </row>
    <row r="2707" s="2" customFormat="true" ht="22.5" customHeight="true" spans="1:7">
      <c r="A2707" s="6">
        <f>2705</f>
        <v>2705</v>
      </c>
      <c r="B2707" s="6" t="s">
        <v>2658</v>
      </c>
      <c r="C2707" s="6" t="s">
        <v>9</v>
      </c>
      <c r="D2707" s="6" t="s">
        <v>416</v>
      </c>
      <c r="E2707" s="6" t="s">
        <v>11</v>
      </c>
      <c r="F2707" s="6">
        <v>1</v>
      </c>
      <c r="G2707" s="6">
        <v>551</v>
      </c>
    </row>
    <row r="2708" s="2" customFormat="true" ht="22.5" customHeight="true" spans="1:7">
      <c r="A2708" s="6">
        <f>2706</f>
        <v>2706</v>
      </c>
      <c r="B2708" s="6" t="s">
        <v>2659</v>
      </c>
      <c r="C2708" s="6" t="s">
        <v>9</v>
      </c>
      <c r="D2708" s="6" t="s">
        <v>122</v>
      </c>
      <c r="E2708" s="6" t="s">
        <v>11</v>
      </c>
      <c r="F2708" s="6">
        <v>1</v>
      </c>
      <c r="G2708" s="6">
        <v>551</v>
      </c>
    </row>
    <row r="2709" s="2" customFormat="true" ht="22.5" customHeight="true" spans="1:7">
      <c r="A2709" s="6">
        <f>2707</f>
        <v>2707</v>
      </c>
      <c r="B2709" s="6" t="s">
        <v>2660</v>
      </c>
      <c r="C2709" s="6" t="s">
        <v>15</v>
      </c>
      <c r="D2709" s="6" t="s">
        <v>13</v>
      </c>
      <c r="E2709" s="6" t="s">
        <v>17</v>
      </c>
      <c r="F2709" s="6">
        <v>1</v>
      </c>
      <c r="G2709" s="6">
        <v>626</v>
      </c>
    </row>
    <row r="2710" s="2" customFormat="true" ht="22.5" customHeight="true" spans="1:7">
      <c r="A2710" s="6">
        <f>2708</f>
        <v>2708</v>
      </c>
      <c r="B2710" s="6" t="s">
        <v>2661</v>
      </c>
      <c r="C2710" s="6" t="s">
        <v>9</v>
      </c>
      <c r="D2710" s="6" t="s">
        <v>239</v>
      </c>
      <c r="E2710" s="6" t="s">
        <v>11</v>
      </c>
      <c r="F2710" s="6">
        <v>1</v>
      </c>
      <c r="G2710" s="6">
        <v>551</v>
      </c>
    </row>
    <row r="2711" s="2" customFormat="true" ht="22.5" customHeight="true" spans="1:7">
      <c r="A2711" s="6">
        <f>2709</f>
        <v>2709</v>
      </c>
      <c r="B2711" s="6" t="s">
        <v>2409</v>
      </c>
      <c r="C2711" s="6" t="s">
        <v>15</v>
      </c>
      <c r="D2711" s="6" t="s">
        <v>280</v>
      </c>
      <c r="E2711" s="6" t="s">
        <v>17</v>
      </c>
      <c r="F2711" s="6">
        <v>2</v>
      </c>
      <c r="G2711" s="6">
        <v>1178</v>
      </c>
    </row>
    <row r="2712" s="2" customFormat="true" ht="22.5" customHeight="true" spans="1:7">
      <c r="A2712" s="6">
        <f>2710</f>
        <v>2710</v>
      </c>
      <c r="B2712" s="6" t="s">
        <v>2662</v>
      </c>
      <c r="C2712" s="6" t="s">
        <v>15</v>
      </c>
      <c r="D2712" s="6" t="s">
        <v>164</v>
      </c>
      <c r="E2712" s="6" t="s">
        <v>17</v>
      </c>
      <c r="F2712" s="6">
        <v>2</v>
      </c>
      <c r="G2712" s="6">
        <v>1127</v>
      </c>
    </row>
    <row r="2713" s="2" customFormat="true" ht="22.5" customHeight="true" spans="1:7">
      <c r="A2713" s="6">
        <f>2711</f>
        <v>2711</v>
      </c>
      <c r="B2713" s="6" t="s">
        <v>2663</v>
      </c>
      <c r="C2713" s="6" t="s">
        <v>9</v>
      </c>
      <c r="D2713" s="6" t="s">
        <v>133</v>
      </c>
      <c r="E2713" s="6" t="s">
        <v>17</v>
      </c>
      <c r="F2713" s="6">
        <v>1</v>
      </c>
      <c r="G2713" s="6">
        <v>627</v>
      </c>
    </row>
    <row r="2714" s="2" customFormat="true" ht="22.5" customHeight="true" spans="1:7">
      <c r="A2714" s="6">
        <f>2712</f>
        <v>2712</v>
      </c>
      <c r="B2714" s="6" t="s">
        <v>2664</v>
      </c>
      <c r="C2714" s="6" t="s">
        <v>15</v>
      </c>
      <c r="D2714" s="6" t="s">
        <v>185</v>
      </c>
      <c r="E2714" s="6" t="s">
        <v>17</v>
      </c>
      <c r="F2714" s="6">
        <v>2</v>
      </c>
      <c r="G2714" s="6">
        <v>1103</v>
      </c>
    </row>
    <row r="2715" s="2" customFormat="true" ht="22.5" customHeight="true" spans="1:7">
      <c r="A2715" s="6">
        <f>2713</f>
        <v>2713</v>
      </c>
      <c r="B2715" s="6" t="s">
        <v>2665</v>
      </c>
      <c r="C2715" s="6" t="s">
        <v>9</v>
      </c>
      <c r="D2715" s="6" t="s">
        <v>159</v>
      </c>
      <c r="E2715" s="6" t="s">
        <v>17</v>
      </c>
      <c r="F2715" s="6">
        <v>4</v>
      </c>
      <c r="G2715" s="6">
        <v>2151</v>
      </c>
    </row>
    <row r="2716" s="2" customFormat="true" ht="22.5" customHeight="true" spans="1:7">
      <c r="A2716" s="6">
        <f>2714</f>
        <v>2714</v>
      </c>
      <c r="B2716" s="6" t="s">
        <v>2666</v>
      </c>
      <c r="C2716" s="6" t="s">
        <v>9</v>
      </c>
      <c r="D2716" s="6" t="s">
        <v>188</v>
      </c>
      <c r="E2716" s="6" t="s">
        <v>17</v>
      </c>
      <c r="F2716" s="6">
        <v>4</v>
      </c>
      <c r="G2716" s="6">
        <v>2178</v>
      </c>
    </row>
    <row r="2717" s="2" customFormat="true" ht="22.5" customHeight="true" spans="1:7">
      <c r="A2717" s="6">
        <f>2715</f>
        <v>2715</v>
      </c>
      <c r="B2717" s="6" t="s">
        <v>2667</v>
      </c>
      <c r="C2717" s="6" t="s">
        <v>15</v>
      </c>
      <c r="D2717" s="6" t="s">
        <v>222</v>
      </c>
      <c r="E2717" s="6" t="s">
        <v>17</v>
      </c>
      <c r="F2717" s="6">
        <v>1</v>
      </c>
      <c r="G2717" s="6">
        <v>627</v>
      </c>
    </row>
    <row r="2718" s="2" customFormat="true" ht="22.5" customHeight="true" spans="1:7">
      <c r="A2718" s="6">
        <f>2716</f>
        <v>2716</v>
      </c>
      <c r="B2718" s="6" t="s">
        <v>2668</v>
      </c>
      <c r="C2718" s="6" t="s">
        <v>15</v>
      </c>
      <c r="D2718" s="6" t="s">
        <v>180</v>
      </c>
      <c r="E2718" s="6" t="s">
        <v>17</v>
      </c>
      <c r="F2718" s="6">
        <v>4</v>
      </c>
      <c r="G2718" s="6">
        <v>2227</v>
      </c>
    </row>
    <row r="2719" s="2" customFormat="true" ht="22.5" customHeight="true" spans="1:7">
      <c r="A2719" s="6">
        <f>2717</f>
        <v>2717</v>
      </c>
      <c r="B2719" s="6" t="s">
        <v>2669</v>
      </c>
      <c r="C2719" s="6" t="s">
        <v>15</v>
      </c>
      <c r="D2719" s="6" t="s">
        <v>182</v>
      </c>
      <c r="E2719" s="6" t="s">
        <v>17</v>
      </c>
      <c r="F2719" s="6">
        <v>2</v>
      </c>
      <c r="G2719" s="6">
        <v>1284</v>
      </c>
    </row>
    <row r="2720" s="2" customFormat="true" ht="22.5" customHeight="true" spans="1:7">
      <c r="A2720" s="6">
        <f>2718</f>
        <v>2718</v>
      </c>
      <c r="B2720" s="6" t="s">
        <v>2670</v>
      </c>
      <c r="C2720" s="6" t="s">
        <v>15</v>
      </c>
      <c r="D2720" s="6" t="s">
        <v>138</v>
      </c>
      <c r="E2720" s="6" t="s">
        <v>17</v>
      </c>
      <c r="F2720" s="6">
        <v>1</v>
      </c>
      <c r="G2720" s="6">
        <v>636</v>
      </c>
    </row>
    <row r="2721" s="2" customFormat="true" ht="22.5" customHeight="true" spans="1:7">
      <c r="A2721" s="6">
        <f>2719</f>
        <v>2719</v>
      </c>
      <c r="B2721" s="6" t="s">
        <v>2671</v>
      </c>
      <c r="C2721" s="6" t="s">
        <v>9</v>
      </c>
      <c r="D2721" s="6" t="s">
        <v>19</v>
      </c>
      <c r="E2721" s="6" t="s">
        <v>11</v>
      </c>
      <c r="F2721" s="6">
        <v>2</v>
      </c>
      <c r="G2721" s="6">
        <v>1406</v>
      </c>
    </row>
    <row r="2722" s="2" customFormat="true" ht="22.5" customHeight="true" spans="1:7">
      <c r="A2722" s="6">
        <f>2720</f>
        <v>2720</v>
      </c>
      <c r="B2722" s="6" t="s">
        <v>2672</v>
      </c>
      <c r="C2722" s="6" t="s">
        <v>9</v>
      </c>
      <c r="D2722" s="6" t="s">
        <v>19</v>
      </c>
      <c r="E2722" s="6" t="s">
        <v>17</v>
      </c>
      <c r="F2722" s="6">
        <v>1</v>
      </c>
      <c r="G2722" s="6">
        <v>686</v>
      </c>
    </row>
    <row r="2723" s="2" customFormat="true" ht="22.5" customHeight="true" spans="1:7">
      <c r="A2723" s="6">
        <f>2721</f>
        <v>2721</v>
      </c>
      <c r="B2723" s="6" t="s">
        <v>2673</v>
      </c>
      <c r="C2723" s="6" t="s">
        <v>15</v>
      </c>
      <c r="D2723" s="6" t="s">
        <v>138</v>
      </c>
      <c r="E2723" s="6" t="s">
        <v>11</v>
      </c>
      <c r="F2723" s="6">
        <v>1</v>
      </c>
      <c r="G2723" s="6">
        <v>597</v>
      </c>
    </row>
    <row r="2724" s="2" customFormat="true" ht="22.5" customHeight="true" spans="1:7">
      <c r="A2724" s="6">
        <f>2722</f>
        <v>2722</v>
      </c>
      <c r="B2724" s="6" t="s">
        <v>2674</v>
      </c>
      <c r="C2724" s="6" t="s">
        <v>9</v>
      </c>
      <c r="D2724" s="6" t="s">
        <v>230</v>
      </c>
      <c r="E2724" s="6" t="s">
        <v>11</v>
      </c>
      <c r="F2724" s="6">
        <v>1</v>
      </c>
      <c r="G2724" s="6">
        <v>597</v>
      </c>
    </row>
    <row r="2725" s="2" customFormat="true" ht="22.5" customHeight="true" spans="1:7">
      <c r="A2725" s="6">
        <f>2723</f>
        <v>2723</v>
      </c>
      <c r="B2725" s="6" t="s">
        <v>2675</v>
      </c>
      <c r="C2725" s="6" t="s">
        <v>9</v>
      </c>
      <c r="D2725" s="6" t="s">
        <v>230</v>
      </c>
      <c r="E2725" s="6" t="s">
        <v>11</v>
      </c>
      <c r="F2725" s="6">
        <v>2</v>
      </c>
      <c r="G2725" s="6">
        <v>1194</v>
      </c>
    </row>
    <row r="2726" s="2" customFormat="true" ht="22.5" customHeight="true" spans="1:7">
      <c r="A2726" s="6">
        <f>2724</f>
        <v>2724</v>
      </c>
      <c r="B2726" s="6" t="s">
        <v>2676</v>
      </c>
      <c r="C2726" s="6" t="s">
        <v>9</v>
      </c>
      <c r="D2726" s="6" t="s">
        <v>13</v>
      </c>
      <c r="E2726" s="6" t="s">
        <v>11</v>
      </c>
      <c r="F2726" s="6">
        <v>2</v>
      </c>
      <c r="G2726" s="6">
        <v>1194</v>
      </c>
    </row>
    <row r="2727" s="2" customFormat="true" ht="22.5" customHeight="true" spans="1:7">
      <c r="A2727" s="6">
        <f>2725</f>
        <v>2725</v>
      </c>
      <c r="B2727" s="6" t="s">
        <v>2677</v>
      </c>
      <c r="C2727" s="6" t="s">
        <v>9</v>
      </c>
      <c r="D2727" s="6" t="s">
        <v>230</v>
      </c>
      <c r="E2727" s="6" t="s">
        <v>11</v>
      </c>
      <c r="F2727" s="6">
        <v>2</v>
      </c>
      <c r="G2727" s="6">
        <v>1406</v>
      </c>
    </row>
    <row r="2728" s="2" customFormat="true" ht="22.5" customHeight="true" spans="1:7">
      <c r="A2728" s="6">
        <f>2726</f>
        <v>2726</v>
      </c>
      <c r="B2728" s="6" t="s">
        <v>2678</v>
      </c>
      <c r="C2728" s="6" t="s">
        <v>9</v>
      </c>
      <c r="D2728" s="6" t="s">
        <v>159</v>
      </c>
      <c r="E2728" s="6" t="s">
        <v>17</v>
      </c>
      <c r="F2728" s="6">
        <v>2</v>
      </c>
      <c r="G2728" s="6">
        <v>1178</v>
      </c>
    </row>
    <row r="2729" s="2" customFormat="true" ht="22.5" customHeight="true" spans="1:7">
      <c r="A2729" s="6">
        <f>2727</f>
        <v>2727</v>
      </c>
      <c r="B2729" s="6" t="s">
        <v>2679</v>
      </c>
      <c r="C2729" s="6" t="s">
        <v>9</v>
      </c>
      <c r="D2729" s="6" t="s">
        <v>138</v>
      </c>
      <c r="E2729" s="6" t="s">
        <v>11</v>
      </c>
      <c r="F2729" s="6">
        <v>1</v>
      </c>
      <c r="G2729" s="6">
        <v>597</v>
      </c>
    </row>
    <row r="2730" s="2" customFormat="true" ht="22.5" customHeight="true" spans="1:7">
      <c r="A2730" s="6">
        <f>2728</f>
        <v>2728</v>
      </c>
      <c r="B2730" s="6" t="s">
        <v>2680</v>
      </c>
      <c r="C2730" s="6" t="s">
        <v>9</v>
      </c>
      <c r="D2730" s="6" t="s">
        <v>164</v>
      </c>
      <c r="E2730" s="6" t="s">
        <v>17</v>
      </c>
      <c r="F2730" s="6">
        <v>1</v>
      </c>
      <c r="G2730" s="6">
        <v>627</v>
      </c>
    </row>
    <row r="2731" s="2" customFormat="true" ht="22.5" customHeight="true" spans="1:7">
      <c r="A2731" s="6">
        <f>2729</f>
        <v>2729</v>
      </c>
      <c r="B2731" s="6" t="s">
        <v>2681</v>
      </c>
      <c r="C2731" s="6" t="s">
        <v>9</v>
      </c>
      <c r="D2731" s="6" t="s">
        <v>230</v>
      </c>
      <c r="E2731" s="6" t="s">
        <v>11</v>
      </c>
      <c r="F2731" s="6">
        <v>1</v>
      </c>
      <c r="G2731" s="6">
        <v>597</v>
      </c>
    </row>
    <row r="2732" s="2" customFormat="true" ht="22.5" customHeight="true" spans="1:7">
      <c r="A2732" s="6">
        <f>2730</f>
        <v>2730</v>
      </c>
      <c r="B2732" s="6" t="s">
        <v>2682</v>
      </c>
      <c r="C2732" s="6" t="s">
        <v>9</v>
      </c>
      <c r="D2732" s="6" t="s">
        <v>230</v>
      </c>
      <c r="E2732" s="6" t="s">
        <v>11</v>
      </c>
      <c r="F2732" s="6">
        <v>1</v>
      </c>
      <c r="G2732" s="6">
        <v>597</v>
      </c>
    </row>
    <row r="2733" s="2" customFormat="true" ht="22.5" customHeight="true" spans="1:7">
      <c r="A2733" s="6">
        <f>2731</f>
        <v>2731</v>
      </c>
      <c r="B2733" s="6" t="s">
        <v>2683</v>
      </c>
      <c r="C2733" s="6" t="s">
        <v>9</v>
      </c>
      <c r="D2733" s="6" t="s">
        <v>136</v>
      </c>
      <c r="E2733" s="6" t="s">
        <v>17</v>
      </c>
      <c r="F2733" s="6">
        <v>2</v>
      </c>
      <c r="G2733" s="6">
        <v>1103</v>
      </c>
    </row>
    <row r="2734" s="2" customFormat="true" ht="22.5" customHeight="true" spans="1:7">
      <c r="A2734" s="6">
        <f>2732</f>
        <v>2732</v>
      </c>
      <c r="B2734" s="6" t="s">
        <v>2684</v>
      </c>
      <c r="C2734" s="6" t="s">
        <v>9</v>
      </c>
      <c r="D2734" s="6" t="s">
        <v>16</v>
      </c>
      <c r="E2734" s="6" t="s">
        <v>17</v>
      </c>
      <c r="F2734" s="6">
        <v>1</v>
      </c>
      <c r="G2734" s="6">
        <v>690</v>
      </c>
    </row>
    <row r="2735" s="2" customFormat="true" ht="22.5" customHeight="true" spans="1:7">
      <c r="A2735" s="6">
        <f>2733</f>
        <v>2733</v>
      </c>
      <c r="B2735" s="6" t="s">
        <v>2685</v>
      </c>
      <c r="C2735" s="6" t="s">
        <v>15</v>
      </c>
      <c r="D2735" s="6" t="s">
        <v>159</v>
      </c>
      <c r="E2735" s="6" t="s">
        <v>17</v>
      </c>
      <c r="F2735" s="6">
        <v>3</v>
      </c>
      <c r="G2735" s="6">
        <v>1802</v>
      </c>
    </row>
    <row r="2736" s="2" customFormat="true" ht="22.5" customHeight="true" spans="1:7">
      <c r="A2736" s="6">
        <f>2734</f>
        <v>2734</v>
      </c>
      <c r="B2736" s="6" t="s">
        <v>2686</v>
      </c>
      <c r="C2736" s="6" t="s">
        <v>15</v>
      </c>
      <c r="D2736" s="6" t="s">
        <v>117</v>
      </c>
      <c r="E2736" s="6" t="s">
        <v>17</v>
      </c>
      <c r="F2736" s="6">
        <v>1</v>
      </c>
      <c r="G2736" s="6">
        <v>626</v>
      </c>
    </row>
    <row r="2737" s="2" customFormat="true" ht="22.5" customHeight="true" spans="1:7">
      <c r="A2737" s="6">
        <f>2735</f>
        <v>2735</v>
      </c>
      <c r="B2737" s="6" t="s">
        <v>2687</v>
      </c>
      <c r="C2737" s="6" t="s">
        <v>15</v>
      </c>
      <c r="D2737" s="6" t="s">
        <v>19</v>
      </c>
      <c r="E2737" s="6" t="s">
        <v>17</v>
      </c>
      <c r="F2737" s="6">
        <v>1</v>
      </c>
      <c r="G2737" s="6">
        <v>656</v>
      </c>
    </row>
    <row r="2738" s="2" customFormat="true" ht="22.5" customHeight="true" spans="1:7">
      <c r="A2738" s="6">
        <f>2736</f>
        <v>2736</v>
      </c>
      <c r="B2738" s="6" t="s">
        <v>2688</v>
      </c>
      <c r="C2738" s="6" t="s">
        <v>15</v>
      </c>
      <c r="D2738" s="6" t="s">
        <v>19</v>
      </c>
      <c r="E2738" s="6" t="s">
        <v>17</v>
      </c>
      <c r="F2738" s="6">
        <v>3</v>
      </c>
      <c r="G2738" s="6">
        <v>1734</v>
      </c>
    </row>
    <row r="2739" s="2" customFormat="true" ht="22.5" customHeight="true" spans="1:7">
      <c r="A2739" s="6">
        <f>2737</f>
        <v>2737</v>
      </c>
      <c r="B2739" s="6" t="s">
        <v>2689</v>
      </c>
      <c r="C2739" s="6" t="s">
        <v>15</v>
      </c>
      <c r="D2739" s="6" t="s">
        <v>180</v>
      </c>
      <c r="E2739" s="6" t="s">
        <v>17</v>
      </c>
      <c r="F2739" s="6">
        <v>2</v>
      </c>
      <c r="G2739" s="6">
        <v>1127</v>
      </c>
    </row>
    <row r="2740" s="2" customFormat="true" ht="22.5" customHeight="true" spans="1:7">
      <c r="A2740" s="6">
        <f>2738</f>
        <v>2738</v>
      </c>
      <c r="B2740" s="6" t="s">
        <v>2690</v>
      </c>
      <c r="C2740" s="6" t="s">
        <v>9</v>
      </c>
      <c r="D2740" s="6" t="s">
        <v>104</v>
      </c>
      <c r="E2740" s="6" t="s">
        <v>17</v>
      </c>
      <c r="F2740" s="6">
        <v>1</v>
      </c>
      <c r="G2740" s="6">
        <v>690</v>
      </c>
    </row>
    <row r="2741" s="2" customFormat="true" ht="22.5" customHeight="true" spans="1:7">
      <c r="A2741" s="6">
        <f>2739</f>
        <v>2739</v>
      </c>
      <c r="B2741" s="6" t="s">
        <v>2691</v>
      </c>
      <c r="C2741" s="6" t="s">
        <v>15</v>
      </c>
      <c r="D2741" s="6" t="s">
        <v>138</v>
      </c>
      <c r="E2741" s="6" t="s">
        <v>17</v>
      </c>
      <c r="F2741" s="6">
        <v>1</v>
      </c>
      <c r="G2741" s="6">
        <v>706</v>
      </c>
    </row>
    <row r="2742" s="2" customFormat="true" ht="22.5" customHeight="true" spans="1:7">
      <c r="A2742" s="6">
        <f>2740</f>
        <v>2740</v>
      </c>
      <c r="B2742" s="6" t="s">
        <v>2692</v>
      </c>
      <c r="C2742" s="6" t="s">
        <v>15</v>
      </c>
      <c r="D2742" s="6" t="s">
        <v>16</v>
      </c>
      <c r="E2742" s="6" t="s">
        <v>17</v>
      </c>
      <c r="F2742" s="6">
        <v>1</v>
      </c>
      <c r="G2742" s="6">
        <v>690</v>
      </c>
    </row>
    <row r="2743" s="2" customFormat="true" ht="22.5" customHeight="true" spans="1:7">
      <c r="A2743" s="6">
        <f>2741</f>
        <v>2741</v>
      </c>
      <c r="B2743" s="6" t="s">
        <v>2693</v>
      </c>
      <c r="C2743" s="6" t="s">
        <v>9</v>
      </c>
      <c r="D2743" s="6" t="s">
        <v>129</v>
      </c>
      <c r="E2743" s="6" t="s">
        <v>17</v>
      </c>
      <c r="F2743" s="6">
        <v>1</v>
      </c>
      <c r="G2743" s="6">
        <v>627</v>
      </c>
    </row>
    <row r="2744" s="2" customFormat="true" ht="22.5" customHeight="true" spans="1:7">
      <c r="A2744" s="6">
        <f>2742</f>
        <v>2742</v>
      </c>
      <c r="B2744" s="6" t="s">
        <v>2694</v>
      </c>
      <c r="C2744" s="6" t="s">
        <v>9</v>
      </c>
      <c r="D2744" s="6" t="s">
        <v>260</v>
      </c>
      <c r="E2744" s="6" t="s">
        <v>17</v>
      </c>
      <c r="F2744" s="6">
        <v>1</v>
      </c>
      <c r="G2744" s="6">
        <v>627</v>
      </c>
    </row>
    <row r="2745" s="2" customFormat="true" ht="22.5" customHeight="true" spans="1:7">
      <c r="A2745" s="6">
        <f>2743</f>
        <v>2743</v>
      </c>
      <c r="B2745" s="6" t="s">
        <v>2695</v>
      </c>
      <c r="C2745" s="6" t="s">
        <v>9</v>
      </c>
      <c r="D2745" s="6" t="s">
        <v>167</v>
      </c>
      <c r="E2745" s="6" t="s">
        <v>17</v>
      </c>
      <c r="F2745" s="6">
        <v>1</v>
      </c>
      <c r="G2745" s="6">
        <v>627</v>
      </c>
    </row>
    <row r="2746" s="2" customFormat="true" ht="22.5" customHeight="true" spans="1:7">
      <c r="A2746" s="6">
        <f>2744</f>
        <v>2744</v>
      </c>
      <c r="B2746" s="6" t="s">
        <v>2696</v>
      </c>
      <c r="C2746" s="6" t="s">
        <v>9</v>
      </c>
      <c r="D2746" s="6" t="s">
        <v>185</v>
      </c>
      <c r="E2746" s="6" t="s">
        <v>11</v>
      </c>
      <c r="F2746" s="6">
        <v>2</v>
      </c>
      <c r="G2746" s="6">
        <v>1188</v>
      </c>
    </row>
    <row r="2747" s="2" customFormat="true" ht="22.5" customHeight="true" spans="1:7">
      <c r="A2747" s="6">
        <f>2745</f>
        <v>2745</v>
      </c>
      <c r="B2747" s="6" t="s">
        <v>2697</v>
      </c>
      <c r="C2747" s="6" t="s">
        <v>15</v>
      </c>
      <c r="D2747" s="6" t="s">
        <v>124</v>
      </c>
      <c r="E2747" s="6" t="s">
        <v>17</v>
      </c>
      <c r="F2747" s="6">
        <v>3</v>
      </c>
      <c r="G2747" s="6">
        <v>1652</v>
      </c>
    </row>
    <row r="2748" s="2" customFormat="true" ht="22.5" customHeight="true" spans="1:7">
      <c r="A2748" s="6">
        <f>2746</f>
        <v>2746</v>
      </c>
      <c r="B2748" s="6" t="s">
        <v>2698</v>
      </c>
      <c r="C2748" s="6" t="s">
        <v>9</v>
      </c>
      <c r="D2748" s="6" t="s">
        <v>239</v>
      </c>
      <c r="E2748" s="6" t="s">
        <v>17</v>
      </c>
      <c r="F2748" s="6">
        <v>1</v>
      </c>
      <c r="G2748" s="6">
        <v>627</v>
      </c>
    </row>
    <row r="2749" s="2" customFormat="true" ht="22.5" customHeight="true" spans="1:7">
      <c r="A2749" s="6">
        <f>2747</f>
        <v>2747</v>
      </c>
      <c r="B2749" s="6" t="s">
        <v>2023</v>
      </c>
      <c r="C2749" s="6" t="s">
        <v>15</v>
      </c>
      <c r="D2749" s="6" t="s">
        <v>270</v>
      </c>
      <c r="E2749" s="6" t="s">
        <v>17</v>
      </c>
      <c r="F2749" s="6">
        <v>4</v>
      </c>
      <c r="G2749" s="6">
        <v>2129</v>
      </c>
    </row>
    <row r="2750" s="2" customFormat="true" ht="22.5" customHeight="true" spans="1:7">
      <c r="A2750" s="6">
        <f>2748</f>
        <v>2748</v>
      </c>
      <c r="B2750" s="6" t="s">
        <v>2699</v>
      </c>
      <c r="C2750" s="6" t="s">
        <v>9</v>
      </c>
      <c r="D2750" s="6" t="s">
        <v>27</v>
      </c>
      <c r="E2750" s="6" t="s">
        <v>17</v>
      </c>
      <c r="F2750" s="6">
        <v>1</v>
      </c>
      <c r="G2750" s="6">
        <v>656</v>
      </c>
    </row>
    <row r="2751" s="2" customFormat="true" ht="22.5" customHeight="true" spans="1:7">
      <c r="A2751" s="6">
        <f>2749</f>
        <v>2749</v>
      </c>
      <c r="B2751" s="6" t="s">
        <v>2700</v>
      </c>
      <c r="C2751" s="6" t="s">
        <v>9</v>
      </c>
      <c r="D2751" s="6" t="s">
        <v>27</v>
      </c>
      <c r="E2751" s="6" t="s">
        <v>17</v>
      </c>
      <c r="F2751" s="6">
        <v>1</v>
      </c>
      <c r="G2751" s="6">
        <v>656</v>
      </c>
    </row>
    <row r="2752" s="2" customFormat="true" ht="22.5" customHeight="true" spans="1:7">
      <c r="A2752" s="6">
        <f>2750</f>
        <v>2750</v>
      </c>
      <c r="B2752" s="6" t="s">
        <v>2701</v>
      </c>
      <c r="C2752" s="6" t="s">
        <v>9</v>
      </c>
      <c r="D2752" s="6" t="s">
        <v>209</v>
      </c>
      <c r="E2752" s="6" t="s">
        <v>17</v>
      </c>
      <c r="F2752" s="6">
        <v>1</v>
      </c>
      <c r="G2752" s="6">
        <v>656</v>
      </c>
    </row>
    <row r="2753" s="2" customFormat="true" ht="22.5" customHeight="true" spans="1:7">
      <c r="A2753" s="6">
        <f>2751</f>
        <v>2751</v>
      </c>
      <c r="B2753" s="6" t="s">
        <v>2702</v>
      </c>
      <c r="C2753" s="6" t="s">
        <v>9</v>
      </c>
      <c r="D2753" s="6" t="s">
        <v>188</v>
      </c>
      <c r="E2753" s="6" t="s">
        <v>17</v>
      </c>
      <c r="F2753" s="6">
        <v>2</v>
      </c>
      <c r="G2753" s="6">
        <v>1178</v>
      </c>
    </row>
    <row r="2754" s="2" customFormat="true" ht="22.5" customHeight="true" spans="1:7">
      <c r="A2754" s="6">
        <f>2752</f>
        <v>2752</v>
      </c>
      <c r="B2754" s="6" t="s">
        <v>2703</v>
      </c>
      <c r="C2754" s="6" t="s">
        <v>15</v>
      </c>
      <c r="D2754" s="6" t="s">
        <v>143</v>
      </c>
      <c r="E2754" s="6" t="s">
        <v>17</v>
      </c>
      <c r="F2754" s="6">
        <v>1</v>
      </c>
      <c r="G2754" s="6">
        <v>627</v>
      </c>
    </row>
    <row r="2755" s="2" customFormat="true" ht="22.5" customHeight="true" spans="1:7">
      <c r="A2755" s="6">
        <f>2753</f>
        <v>2753</v>
      </c>
      <c r="B2755" s="6" t="s">
        <v>2704</v>
      </c>
      <c r="C2755" s="6" t="s">
        <v>15</v>
      </c>
      <c r="D2755" s="6" t="s">
        <v>143</v>
      </c>
      <c r="E2755" s="6" t="s">
        <v>17</v>
      </c>
      <c r="F2755" s="6">
        <v>1</v>
      </c>
      <c r="G2755" s="6">
        <v>627</v>
      </c>
    </row>
    <row r="2756" s="2" customFormat="true" ht="22.5" customHeight="true" spans="1:7">
      <c r="A2756" s="6">
        <f>2754</f>
        <v>2754</v>
      </c>
      <c r="B2756" s="6" t="s">
        <v>2705</v>
      </c>
      <c r="C2756" s="6" t="s">
        <v>9</v>
      </c>
      <c r="D2756" s="6" t="s">
        <v>260</v>
      </c>
      <c r="E2756" s="6" t="s">
        <v>17</v>
      </c>
      <c r="F2756" s="6">
        <v>2</v>
      </c>
      <c r="G2756" s="6">
        <v>1102</v>
      </c>
    </row>
    <row r="2757" s="2" customFormat="true" ht="22.5" customHeight="true" spans="1:7">
      <c r="A2757" s="6">
        <f>2755</f>
        <v>2755</v>
      </c>
      <c r="B2757" s="6" t="s">
        <v>2706</v>
      </c>
      <c r="C2757" s="6" t="s">
        <v>9</v>
      </c>
      <c r="D2757" s="6" t="s">
        <v>260</v>
      </c>
      <c r="E2757" s="6" t="s">
        <v>17</v>
      </c>
      <c r="F2757" s="6">
        <v>1</v>
      </c>
      <c r="G2757" s="6">
        <v>551</v>
      </c>
    </row>
    <row r="2758" s="2" customFormat="true" ht="22.5" customHeight="true" spans="1:7">
      <c r="A2758" s="6">
        <f>2756</f>
        <v>2756</v>
      </c>
      <c r="B2758" s="6" t="s">
        <v>2707</v>
      </c>
      <c r="C2758" s="6" t="s">
        <v>15</v>
      </c>
      <c r="D2758" s="6" t="s">
        <v>159</v>
      </c>
      <c r="E2758" s="6" t="s">
        <v>11</v>
      </c>
      <c r="F2758" s="6">
        <v>1</v>
      </c>
      <c r="G2758" s="6">
        <v>551</v>
      </c>
    </row>
    <row r="2759" s="2" customFormat="true" ht="22.5" customHeight="true" spans="1:7">
      <c r="A2759" s="6">
        <f>2757</f>
        <v>2757</v>
      </c>
      <c r="B2759" s="6" t="s">
        <v>2708</v>
      </c>
      <c r="C2759" s="6" t="s">
        <v>9</v>
      </c>
      <c r="D2759" s="6" t="s">
        <v>122</v>
      </c>
      <c r="E2759" s="6" t="s">
        <v>17</v>
      </c>
      <c r="F2759" s="6">
        <v>2</v>
      </c>
      <c r="G2759" s="6">
        <v>1178</v>
      </c>
    </row>
    <row r="2760" s="2" customFormat="true" ht="22.5" customHeight="true" spans="1:7">
      <c r="A2760" s="6">
        <f>2758</f>
        <v>2758</v>
      </c>
      <c r="B2760" s="6" t="s">
        <v>2709</v>
      </c>
      <c r="C2760" s="6" t="s">
        <v>15</v>
      </c>
      <c r="D2760" s="6" t="s">
        <v>122</v>
      </c>
      <c r="E2760" s="6" t="s">
        <v>17</v>
      </c>
      <c r="F2760" s="6">
        <v>2</v>
      </c>
      <c r="G2760" s="6">
        <v>1178</v>
      </c>
    </row>
    <row r="2761" s="2" customFormat="true" ht="22.5" customHeight="true" spans="1:7">
      <c r="A2761" s="6">
        <f>2759</f>
        <v>2759</v>
      </c>
      <c r="B2761" s="6" t="s">
        <v>2710</v>
      </c>
      <c r="C2761" s="6" t="s">
        <v>9</v>
      </c>
      <c r="D2761" s="6" t="s">
        <v>180</v>
      </c>
      <c r="E2761" s="6" t="s">
        <v>17</v>
      </c>
      <c r="F2761" s="6">
        <v>2</v>
      </c>
      <c r="G2761" s="6">
        <v>1254</v>
      </c>
    </row>
    <row r="2762" s="2" customFormat="true" ht="22.5" customHeight="true" spans="1:7">
      <c r="A2762" s="6">
        <f>2760</f>
        <v>2760</v>
      </c>
      <c r="B2762" s="6" t="s">
        <v>2711</v>
      </c>
      <c r="C2762" s="6" t="s">
        <v>9</v>
      </c>
      <c r="D2762" s="6" t="s">
        <v>188</v>
      </c>
      <c r="E2762" s="6" t="s">
        <v>11</v>
      </c>
      <c r="F2762" s="6">
        <v>1</v>
      </c>
      <c r="G2762" s="6">
        <v>551</v>
      </c>
    </row>
    <row r="2763" s="2" customFormat="true" ht="22.5" customHeight="true" spans="1:7">
      <c r="A2763" s="6">
        <f>2761</f>
        <v>2761</v>
      </c>
      <c r="B2763" s="6" t="s">
        <v>2712</v>
      </c>
      <c r="C2763" s="6" t="s">
        <v>15</v>
      </c>
      <c r="D2763" s="6" t="s">
        <v>129</v>
      </c>
      <c r="E2763" s="6" t="s">
        <v>11</v>
      </c>
      <c r="F2763" s="6">
        <v>2</v>
      </c>
      <c r="G2763" s="6">
        <v>1102</v>
      </c>
    </row>
    <row r="2764" s="2" customFormat="true" ht="22.5" customHeight="true" spans="1:7">
      <c r="A2764" s="6">
        <f>2762</f>
        <v>2762</v>
      </c>
      <c r="B2764" s="6" t="s">
        <v>2713</v>
      </c>
      <c r="C2764" s="6" t="s">
        <v>15</v>
      </c>
      <c r="D2764" s="6" t="s">
        <v>159</v>
      </c>
      <c r="E2764" s="6" t="s">
        <v>17</v>
      </c>
      <c r="F2764" s="6">
        <v>1</v>
      </c>
      <c r="G2764" s="6">
        <v>627</v>
      </c>
    </row>
    <row r="2765" s="2" customFormat="true" ht="22.5" customHeight="true" spans="1:7">
      <c r="A2765" s="6">
        <f>2763</f>
        <v>2763</v>
      </c>
      <c r="B2765" s="6" t="s">
        <v>2714</v>
      </c>
      <c r="C2765" s="6" t="s">
        <v>15</v>
      </c>
      <c r="D2765" s="6" t="s">
        <v>260</v>
      </c>
      <c r="E2765" s="6" t="s">
        <v>17</v>
      </c>
      <c r="F2765" s="6">
        <v>2</v>
      </c>
      <c r="G2765" s="6">
        <v>1178</v>
      </c>
    </row>
    <row r="2766" s="2" customFormat="true" ht="22.5" customHeight="true" spans="1:7">
      <c r="A2766" s="6">
        <f>2764</f>
        <v>2764</v>
      </c>
      <c r="B2766" s="6" t="s">
        <v>2715</v>
      </c>
      <c r="C2766" s="6" t="s">
        <v>15</v>
      </c>
      <c r="D2766" s="6" t="s">
        <v>138</v>
      </c>
      <c r="E2766" s="6" t="s">
        <v>17</v>
      </c>
      <c r="F2766" s="6">
        <v>2</v>
      </c>
      <c r="G2766" s="6">
        <v>1303</v>
      </c>
    </row>
    <row r="2767" s="2" customFormat="true" ht="22.5" customHeight="true" spans="1:7">
      <c r="A2767" s="6">
        <f>2765</f>
        <v>2765</v>
      </c>
      <c r="B2767" s="6" t="s">
        <v>2716</v>
      </c>
      <c r="C2767" s="6" t="s">
        <v>15</v>
      </c>
      <c r="D2767" s="6" t="s">
        <v>117</v>
      </c>
      <c r="E2767" s="6" t="s">
        <v>17</v>
      </c>
      <c r="F2767" s="6">
        <v>2</v>
      </c>
      <c r="G2767" s="6">
        <v>1253</v>
      </c>
    </row>
    <row r="2768" s="2" customFormat="true" ht="22.5" customHeight="true" spans="1:7">
      <c r="A2768" s="6">
        <f>2766</f>
        <v>2766</v>
      </c>
      <c r="B2768" s="6" t="s">
        <v>2717</v>
      </c>
      <c r="C2768" s="6" t="s">
        <v>9</v>
      </c>
      <c r="D2768" s="6" t="s">
        <v>260</v>
      </c>
      <c r="E2768" s="6" t="s">
        <v>17</v>
      </c>
      <c r="F2768" s="6">
        <v>2</v>
      </c>
      <c r="G2768" s="6">
        <v>1178</v>
      </c>
    </row>
    <row r="2769" s="2" customFormat="true" ht="22.5" customHeight="true" spans="1:7">
      <c r="A2769" s="6">
        <f>2767</f>
        <v>2767</v>
      </c>
      <c r="B2769" s="6" t="s">
        <v>2718</v>
      </c>
      <c r="C2769" s="6" t="s">
        <v>9</v>
      </c>
      <c r="D2769" s="6" t="s">
        <v>164</v>
      </c>
      <c r="E2769" s="6" t="s">
        <v>11</v>
      </c>
      <c r="F2769" s="6">
        <v>2</v>
      </c>
      <c r="G2769" s="6">
        <v>1102</v>
      </c>
    </row>
    <row r="2770" s="2" customFormat="true" ht="22.5" customHeight="true" spans="1:7">
      <c r="A2770" s="6">
        <f>2768</f>
        <v>2768</v>
      </c>
      <c r="B2770" s="6" t="s">
        <v>2719</v>
      </c>
      <c r="C2770" s="6" t="s">
        <v>15</v>
      </c>
      <c r="D2770" s="6" t="s">
        <v>270</v>
      </c>
      <c r="E2770" s="6" t="s">
        <v>17</v>
      </c>
      <c r="F2770" s="6">
        <v>3</v>
      </c>
      <c r="G2770" s="6">
        <v>1577</v>
      </c>
    </row>
    <row r="2771" s="2" customFormat="true" ht="22.5" customHeight="true" spans="1:7">
      <c r="A2771" s="6">
        <f>2769</f>
        <v>2769</v>
      </c>
      <c r="B2771" s="6" t="s">
        <v>2720</v>
      </c>
      <c r="C2771" s="6" t="s">
        <v>9</v>
      </c>
      <c r="D2771" s="6" t="s">
        <v>13</v>
      </c>
      <c r="E2771" s="6" t="s">
        <v>17</v>
      </c>
      <c r="F2771" s="6">
        <v>2</v>
      </c>
      <c r="G2771" s="6">
        <v>1137</v>
      </c>
    </row>
    <row r="2772" s="2" customFormat="true" ht="22.5" customHeight="true" spans="1:7">
      <c r="A2772" s="6">
        <f>2770</f>
        <v>2770</v>
      </c>
      <c r="B2772" s="6" t="s">
        <v>2721</v>
      </c>
      <c r="C2772" s="6" t="s">
        <v>9</v>
      </c>
      <c r="D2772" s="6" t="s">
        <v>133</v>
      </c>
      <c r="E2772" s="6" t="s">
        <v>17</v>
      </c>
      <c r="F2772" s="6">
        <v>2</v>
      </c>
      <c r="G2772" s="6">
        <v>1254</v>
      </c>
    </row>
    <row r="2773" s="2" customFormat="true" ht="22.5" customHeight="true" spans="1:7">
      <c r="A2773" s="6">
        <f>2771</f>
        <v>2771</v>
      </c>
      <c r="B2773" s="6" t="s">
        <v>2722</v>
      </c>
      <c r="C2773" s="6" t="s">
        <v>15</v>
      </c>
      <c r="D2773" s="6" t="s">
        <v>180</v>
      </c>
      <c r="E2773" s="6" t="s">
        <v>17</v>
      </c>
      <c r="F2773" s="6">
        <v>1</v>
      </c>
      <c r="G2773" s="6">
        <v>627</v>
      </c>
    </row>
    <row r="2774" s="2" customFormat="true" ht="22.5" customHeight="true" spans="1:7">
      <c r="A2774" s="6">
        <f>2772</f>
        <v>2772</v>
      </c>
      <c r="B2774" s="6" t="s">
        <v>2723</v>
      </c>
      <c r="C2774" s="6" t="s">
        <v>9</v>
      </c>
      <c r="D2774" s="6" t="s">
        <v>209</v>
      </c>
      <c r="E2774" s="6" t="s">
        <v>17</v>
      </c>
      <c r="F2774" s="6">
        <v>2</v>
      </c>
      <c r="G2774" s="6">
        <v>1187</v>
      </c>
    </row>
    <row r="2775" s="2" customFormat="true" ht="22.5" customHeight="true" spans="1:7">
      <c r="A2775" s="6">
        <f>2773</f>
        <v>2773</v>
      </c>
      <c r="B2775" s="6" t="s">
        <v>2724</v>
      </c>
      <c r="C2775" s="6" t="s">
        <v>9</v>
      </c>
      <c r="D2775" s="6" t="s">
        <v>129</v>
      </c>
      <c r="E2775" s="6" t="s">
        <v>79</v>
      </c>
      <c r="F2775" s="6">
        <v>1</v>
      </c>
      <c r="G2775" s="6">
        <v>550</v>
      </c>
    </row>
    <row r="2776" s="2" customFormat="true" ht="22.5" customHeight="true" spans="1:7">
      <c r="A2776" s="6">
        <f>2774</f>
        <v>2774</v>
      </c>
      <c r="B2776" s="6" t="s">
        <v>2725</v>
      </c>
      <c r="C2776" s="6" t="s">
        <v>9</v>
      </c>
      <c r="D2776" s="6" t="s">
        <v>149</v>
      </c>
      <c r="E2776" s="6" t="s">
        <v>17</v>
      </c>
      <c r="F2776" s="6">
        <v>1</v>
      </c>
      <c r="G2776" s="6">
        <v>627</v>
      </c>
    </row>
    <row r="2777" s="2" customFormat="true" ht="22.5" customHeight="true" spans="1:7">
      <c r="A2777" s="6">
        <f>2775</f>
        <v>2775</v>
      </c>
      <c r="B2777" s="6" t="s">
        <v>2726</v>
      </c>
      <c r="C2777" s="6" t="s">
        <v>9</v>
      </c>
      <c r="D2777" s="6" t="s">
        <v>169</v>
      </c>
      <c r="E2777" s="6" t="s">
        <v>17</v>
      </c>
      <c r="F2777" s="6">
        <v>2</v>
      </c>
      <c r="G2777" s="6">
        <v>1254</v>
      </c>
    </row>
    <row r="2778" s="2" customFormat="true" ht="22.5" customHeight="true" spans="1:7">
      <c r="A2778" s="6">
        <f>2776</f>
        <v>2776</v>
      </c>
      <c r="B2778" s="6" t="s">
        <v>2727</v>
      </c>
      <c r="C2778" s="6" t="s">
        <v>15</v>
      </c>
      <c r="D2778" s="6" t="s">
        <v>149</v>
      </c>
      <c r="E2778" s="6" t="s">
        <v>17</v>
      </c>
      <c r="F2778" s="6">
        <v>1</v>
      </c>
      <c r="G2778" s="6">
        <v>627</v>
      </c>
    </row>
    <row r="2779" s="2" customFormat="true" ht="22.5" customHeight="true" spans="1:7">
      <c r="A2779" s="6">
        <f>2777</f>
        <v>2777</v>
      </c>
      <c r="B2779" s="6" t="s">
        <v>2728</v>
      </c>
      <c r="C2779" s="6" t="s">
        <v>9</v>
      </c>
      <c r="D2779" s="6" t="s">
        <v>117</v>
      </c>
      <c r="E2779" s="6" t="s">
        <v>11</v>
      </c>
      <c r="F2779" s="6">
        <v>1</v>
      </c>
      <c r="G2779" s="6">
        <v>597</v>
      </c>
    </row>
    <row r="2780" s="2" customFormat="true" ht="22.5" customHeight="true" spans="1:7">
      <c r="A2780" s="6">
        <f>2778</f>
        <v>2778</v>
      </c>
      <c r="B2780" s="6" t="s">
        <v>2729</v>
      </c>
      <c r="C2780" s="6" t="s">
        <v>9</v>
      </c>
      <c r="D2780" s="6" t="s">
        <v>169</v>
      </c>
      <c r="E2780" s="6" t="s">
        <v>17</v>
      </c>
      <c r="F2780" s="6">
        <v>2</v>
      </c>
      <c r="G2780" s="6">
        <v>1127</v>
      </c>
    </row>
    <row r="2781" s="2" customFormat="true" ht="22.5" customHeight="true" spans="1:7">
      <c r="A2781" s="6">
        <f>2779</f>
        <v>2779</v>
      </c>
      <c r="B2781" s="6" t="s">
        <v>2730</v>
      </c>
      <c r="C2781" s="6" t="s">
        <v>9</v>
      </c>
      <c r="D2781" s="6" t="s">
        <v>222</v>
      </c>
      <c r="E2781" s="6" t="s">
        <v>17</v>
      </c>
      <c r="F2781" s="6">
        <v>1</v>
      </c>
      <c r="G2781" s="6">
        <v>627</v>
      </c>
    </row>
    <row r="2782" s="2" customFormat="true" ht="22.5" customHeight="true" spans="1:7">
      <c r="A2782" s="6">
        <f>2780</f>
        <v>2780</v>
      </c>
      <c r="B2782" s="6" t="s">
        <v>2731</v>
      </c>
      <c r="C2782" s="6" t="s">
        <v>9</v>
      </c>
      <c r="D2782" s="6" t="s">
        <v>164</v>
      </c>
      <c r="E2782" s="6" t="s">
        <v>17</v>
      </c>
      <c r="F2782" s="6">
        <v>1</v>
      </c>
      <c r="G2782" s="6">
        <v>627</v>
      </c>
    </row>
    <row r="2783" s="2" customFormat="true" ht="22.5" customHeight="true" spans="1:7">
      <c r="A2783" s="6">
        <f>2781</f>
        <v>2781</v>
      </c>
      <c r="B2783" s="6" t="s">
        <v>890</v>
      </c>
      <c r="C2783" s="6" t="s">
        <v>15</v>
      </c>
      <c r="D2783" s="6" t="s">
        <v>239</v>
      </c>
      <c r="E2783" s="6" t="s">
        <v>17</v>
      </c>
      <c r="F2783" s="6">
        <v>2</v>
      </c>
      <c r="G2783" s="6">
        <v>1100</v>
      </c>
    </row>
    <row r="2784" s="2" customFormat="true" ht="22.5" customHeight="true" spans="1:7">
      <c r="A2784" s="6">
        <f>2782</f>
        <v>2782</v>
      </c>
      <c r="B2784" s="6" t="s">
        <v>2732</v>
      </c>
      <c r="C2784" s="6" t="s">
        <v>15</v>
      </c>
      <c r="D2784" s="6" t="s">
        <v>209</v>
      </c>
      <c r="E2784" s="6" t="s">
        <v>17</v>
      </c>
      <c r="F2784" s="6">
        <v>1</v>
      </c>
      <c r="G2784" s="6">
        <v>656</v>
      </c>
    </row>
    <row r="2785" s="2" customFormat="true" ht="22.5" customHeight="true" spans="1:7">
      <c r="A2785" s="6">
        <f>2783</f>
        <v>2783</v>
      </c>
      <c r="B2785" s="6" t="s">
        <v>2733</v>
      </c>
      <c r="C2785" s="6" t="s">
        <v>15</v>
      </c>
      <c r="D2785" s="6" t="s">
        <v>280</v>
      </c>
      <c r="E2785" s="6" t="s">
        <v>17</v>
      </c>
      <c r="F2785" s="6">
        <v>3</v>
      </c>
      <c r="G2785" s="6">
        <v>1727</v>
      </c>
    </row>
    <row r="2786" s="2" customFormat="true" ht="22.5" customHeight="true" spans="1:7">
      <c r="A2786" s="6">
        <f>2784</f>
        <v>2784</v>
      </c>
      <c r="B2786" s="6" t="s">
        <v>2734</v>
      </c>
      <c r="C2786" s="6" t="s">
        <v>15</v>
      </c>
      <c r="D2786" s="6" t="s">
        <v>146</v>
      </c>
      <c r="E2786" s="6" t="s">
        <v>11</v>
      </c>
      <c r="F2786" s="6">
        <v>1</v>
      </c>
      <c r="G2786" s="6">
        <v>551</v>
      </c>
    </row>
    <row r="2787" s="2" customFormat="true" ht="22.5" customHeight="true" spans="1:7">
      <c r="A2787" s="6">
        <f>2785</f>
        <v>2785</v>
      </c>
      <c r="B2787" s="6" t="s">
        <v>2735</v>
      </c>
      <c r="C2787" s="6" t="s">
        <v>9</v>
      </c>
      <c r="D2787" s="6" t="s">
        <v>270</v>
      </c>
      <c r="E2787" s="6" t="s">
        <v>17</v>
      </c>
      <c r="F2787" s="6">
        <v>3</v>
      </c>
      <c r="G2787" s="6">
        <v>1578</v>
      </c>
    </row>
    <row r="2788" s="2" customFormat="true" ht="22.5" customHeight="true" spans="1:7">
      <c r="A2788" s="6">
        <f>2786</f>
        <v>2786</v>
      </c>
      <c r="B2788" s="6" t="s">
        <v>2736</v>
      </c>
      <c r="C2788" s="6" t="s">
        <v>9</v>
      </c>
      <c r="D2788" s="6" t="s">
        <v>209</v>
      </c>
      <c r="E2788" s="6" t="s">
        <v>17</v>
      </c>
      <c r="F2788" s="6">
        <v>1</v>
      </c>
      <c r="G2788" s="6">
        <v>656</v>
      </c>
    </row>
    <row r="2789" s="2" customFormat="true" ht="22.5" customHeight="true" spans="1:7">
      <c r="A2789" s="6">
        <f>2787</f>
        <v>2787</v>
      </c>
      <c r="B2789" s="6" t="s">
        <v>2737</v>
      </c>
      <c r="C2789" s="6" t="s">
        <v>9</v>
      </c>
      <c r="D2789" s="6" t="s">
        <v>239</v>
      </c>
      <c r="E2789" s="6" t="s">
        <v>17</v>
      </c>
      <c r="F2789" s="6">
        <v>2</v>
      </c>
      <c r="G2789" s="6">
        <v>1100</v>
      </c>
    </row>
    <row r="2790" s="2" customFormat="true" ht="22.5" customHeight="true" spans="1:7">
      <c r="A2790" s="6">
        <f>2788</f>
        <v>2788</v>
      </c>
      <c r="B2790" s="6" t="s">
        <v>2738</v>
      </c>
      <c r="C2790" s="6" t="s">
        <v>9</v>
      </c>
      <c r="D2790" s="6" t="s">
        <v>161</v>
      </c>
      <c r="E2790" s="6" t="s">
        <v>17</v>
      </c>
      <c r="F2790" s="6">
        <v>3</v>
      </c>
      <c r="G2790" s="6">
        <v>1729</v>
      </c>
    </row>
    <row r="2791" s="2" customFormat="true" ht="22.5" customHeight="true" spans="1:7">
      <c r="A2791" s="6">
        <f>2789</f>
        <v>2789</v>
      </c>
      <c r="B2791" s="6" t="s">
        <v>810</v>
      </c>
      <c r="C2791" s="6" t="s">
        <v>9</v>
      </c>
      <c r="D2791" s="6" t="s">
        <v>146</v>
      </c>
      <c r="E2791" s="6" t="s">
        <v>17</v>
      </c>
      <c r="F2791" s="6">
        <v>2</v>
      </c>
      <c r="G2791" s="6">
        <v>1254</v>
      </c>
    </row>
    <row r="2792" s="2" customFormat="true" ht="22.5" customHeight="true" spans="1:7">
      <c r="A2792" s="6">
        <f>2790</f>
        <v>2790</v>
      </c>
      <c r="B2792" s="6" t="s">
        <v>2739</v>
      </c>
      <c r="C2792" s="6" t="s">
        <v>9</v>
      </c>
      <c r="D2792" s="6" t="s">
        <v>122</v>
      </c>
      <c r="E2792" s="6" t="s">
        <v>11</v>
      </c>
      <c r="F2792" s="6">
        <v>2</v>
      </c>
      <c r="G2792" s="6">
        <v>1051</v>
      </c>
    </row>
    <row r="2793" s="2" customFormat="true" ht="22.5" customHeight="true" spans="1:7">
      <c r="A2793" s="6">
        <f>2791</f>
        <v>2791</v>
      </c>
      <c r="B2793" s="6" t="s">
        <v>2740</v>
      </c>
      <c r="C2793" s="6" t="s">
        <v>9</v>
      </c>
      <c r="D2793" s="6" t="s">
        <v>129</v>
      </c>
      <c r="E2793" s="6" t="s">
        <v>11</v>
      </c>
      <c r="F2793" s="6">
        <v>2</v>
      </c>
      <c r="G2793" s="6">
        <v>1051</v>
      </c>
    </row>
    <row r="2794" s="2" customFormat="true" ht="22.5" customHeight="true" spans="1:7">
      <c r="A2794" s="6">
        <f>2792</f>
        <v>2792</v>
      </c>
      <c r="B2794" s="6" t="s">
        <v>2741</v>
      </c>
      <c r="C2794" s="6" t="s">
        <v>9</v>
      </c>
      <c r="D2794" s="6" t="s">
        <v>202</v>
      </c>
      <c r="E2794" s="6" t="s">
        <v>17</v>
      </c>
      <c r="F2794" s="6">
        <v>4</v>
      </c>
      <c r="G2794" s="6">
        <v>2023</v>
      </c>
    </row>
    <row r="2795" s="2" customFormat="true" ht="22.5" customHeight="true" spans="1:7">
      <c r="A2795" s="6">
        <f>2793</f>
        <v>2793</v>
      </c>
      <c r="B2795" s="6" t="s">
        <v>2742</v>
      </c>
      <c r="C2795" s="6" t="s">
        <v>15</v>
      </c>
      <c r="D2795" s="6" t="s">
        <v>167</v>
      </c>
      <c r="E2795" s="6" t="s">
        <v>17</v>
      </c>
      <c r="F2795" s="6">
        <v>4</v>
      </c>
      <c r="G2795" s="6">
        <v>2129</v>
      </c>
    </row>
    <row r="2796" s="2" customFormat="true" ht="22.5" customHeight="true" spans="1:7">
      <c r="A2796" s="6">
        <f>2794</f>
        <v>2794</v>
      </c>
      <c r="B2796" s="6" t="s">
        <v>2743</v>
      </c>
      <c r="C2796" s="6" t="s">
        <v>15</v>
      </c>
      <c r="D2796" s="6" t="s">
        <v>260</v>
      </c>
      <c r="E2796" s="6" t="s">
        <v>11</v>
      </c>
      <c r="F2796" s="6">
        <v>2</v>
      </c>
      <c r="G2796" s="6">
        <v>1051</v>
      </c>
    </row>
    <row r="2797" s="2" customFormat="true" ht="22.5" customHeight="true" spans="1:7">
      <c r="A2797" s="6">
        <f>2795</f>
        <v>2795</v>
      </c>
      <c r="B2797" s="6" t="s">
        <v>2744</v>
      </c>
      <c r="C2797" s="6" t="s">
        <v>15</v>
      </c>
      <c r="D2797" s="6" t="s">
        <v>124</v>
      </c>
      <c r="E2797" s="6" t="s">
        <v>11</v>
      </c>
      <c r="F2797" s="6">
        <v>2</v>
      </c>
      <c r="G2797" s="6">
        <v>1102</v>
      </c>
    </row>
    <row r="2798" s="2" customFormat="true" ht="22.5" customHeight="true" spans="1:7">
      <c r="A2798" s="6">
        <f>2796</f>
        <v>2796</v>
      </c>
      <c r="B2798" s="6" t="s">
        <v>2745</v>
      </c>
      <c r="C2798" s="6" t="s">
        <v>9</v>
      </c>
      <c r="D2798" s="6" t="s">
        <v>188</v>
      </c>
      <c r="E2798" s="6" t="s">
        <v>17</v>
      </c>
      <c r="F2798" s="6">
        <v>4</v>
      </c>
      <c r="G2798" s="6">
        <v>2129</v>
      </c>
    </row>
    <row r="2799" s="2" customFormat="true" ht="22.5" customHeight="true" spans="1:7">
      <c r="A2799" s="6">
        <f>2797</f>
        <v>2797</v>
      </c>
      <c r="B2799" s="6" t="s">
        <v>2746</v>
      </c>
      <c r="C2799" s="6" t="s">
        <v>9</v>
      </c>
      <c r="D2799" s="6" t="s">
        <v>13</v>
      </c>
      <c r="E2799" s="6" t="s">
        <v>79</v>
      </c>
      <c r="F2799" s="6">
        <v>2</v>
      </c>
      <c r="G2799" s="6">
        <v>962</v>
      </c>
    </row>
    <row r="2800" s="2" customFormat="true" ht="22.5" customHeight="true" spans="1:7">
      <c r="A2800" s="6">
        <f>2798</f>
        <v>2798</v>
      </c>
      <c r="B2800" s="6" t="s">
        <v>2747</v>
      </c>
      <c r="C2800" s="6" t="s">
        <v>9</v>
      </c>
      <c r="D2800" s="6" t="s">
        <v>27</v>
      </c>
      <c r="E2800" s="6" t="s">
        <v>17</v>
      </c>
      <c r="F2800" s="6">
        <v>2</v>
      </c>
      <c r="G2800" s="6">
        <v>1253</v>
      </c>
    </row>
    <row r="2801" s="2" customFormat="true" ht="22.5" customHeight="true" spans="1:7">
      <c r="A2801" s="6">
        <f>2799</f>
        <v>2799</v>
      </c>
      <c r="B2801" s="6" t="s">
        <v>2748</v>
      </c>
      <c r="C2801" s="6" t="s">
        <v>15</v>
      </c>
      <c r="D2801" s="6" t="s">
        <v>27</v>
      </c>
      <c r="E2801" s="6" t="s">
        <v>17</v>
      </c>
      <c r="F2801" s="6">
        <v>1</v>
      </c>
      <c r="G2801" s="6">
        <v>656</v>
      </c>
    </row>
    <row r="2802" s="2" customFormat="true" ht="22.5" customHeight="true" spans="1:7">
      <c r="A2802" s="6">
        <f>2800</f>
        <v>2800</v>
      </c>
      <c r="B2802" s="6" t="s">
        <v>2749</v>
      </c>
      <c r="C2802" s="6" t="s">
        <v>9</v>
      </c>
      <c r="D2802" s="6" t="s">
        <v>49</v>
      </c>
      <c r="E2802" s="6" t="s">
        <v>79</v>
      </c>
      <c r="F2802" s="6">
        <v>2</v>
      </c>
      <c r="G2802" s="6">
        <v>1078</v>
      </c>
    </row>
    <row r="2803" s="2" customFormat="true" ht="22.5" customHeight="true" spans="1:7">
      <c r="A2803" s="6">
        <f>2801</f>
        <v>2801</v>
      </c>
      <c r="B2803" s="6" t="s">
        <v>2750</v>
      </c>
      <c r="C2803" s="6" t="s">
        <v>9</v>
      </c>
      <c r="D2803" s="6" t="s">
        <v>188</v>
      </c>
      <c r="E2803" s="6" t="s">
        <v>11</v>
      </c>
      <c r="F2803" s="6">
        <v>1</v>
      </c>
      <c r="G2803" s="6">
        <v>551</v>
      </c>
    </row>
    <row r="2804" s="2" customFormat="true" ht="22.5" customHeight="true" spans="1:7">
      <c r="A2804" s="6">
        <f>2802</f>
        <v>2802</v>
      </c>
      <c r="B2804" s="6" t="s">
        <v>2751</v>
      </c>
      <c r="C2804" s="6" t="s">
        <v>15</v>
      </c>
      <c r="D2804" s="6" t="s">
        <v>270</v>
      </c>
      <c r="E2804" s="6" t="s">
        <v>17</v>
      </c>
      <c r="F2804" s="6">
        <v>1</v>
      </c>
      <c r="G2804" s="6">
        <v>627</v>
      </c>
    </row>
    <row r="2805" s="2" customFormat="true" ht="22.5" customHeight="true" spans="1:7">
      <c r="A2805" s="6">
        <f>2803</f>
        <v>2803</v>
      </c>
      <c r="B2805" s="6" t="s">
        <v>740</v>
      </c>
      <c r="C2805" s="6" t="s">
        <v>9</v>
      </c>
      <c r="D2805" s="6" t="s">
        <v>270</v>
      </c>
      <c r="E2805" s="6" t="s">
        <v>17</v>
      </c>
      <c r="F2805" s="6">
        <v>2</v>
      </c>
      <c r="G2805" s="6">
        <v>1178</v>
      </c>
    </row>
    <row r="2806" s="2" customFormat="true" ht="22.5" customHeight="true" spans="1:7">
      <c r="A2806" s="6">
        <f>2804</f>
        <v>2804</v>
      </c>
      <c r="B2806" s="6" t="s">
        <v>2752</v>
      </c>
      <c r="C2806" s="6" t="s">
        <v>15</v>
      </c>
      <c r="D2806" s="6" t="s">
        <v>209</v>
      </c>
      <c r="E2806" s="6" t="s">
        <v>17</v>
      </c>
      <c r="F2806" s="6">
        <v>1</v>
      </c>
      <c r="G2806" s="6">
        <v>656</v>
      </c>
    </row>
    <row r="2807" s="2" customFormat="true" ht="22.5" customHeight="true" spans="1:7">
      <c r="A2807" s="6">
        <f>2805</f>
        <v>2805</v>
      </c>
      <c r="B2807" s="6" t="s">
        <v>1095</v>
      </c>
      <c r="C2807" s="6" t="s">
        <v>15</v>
      </c>
      <c r="D2807" s="6" t="s">
        <v>122</v>
      </c>
      <c r="E2807" s="6" t="s">
        <v>17</v>
      </c>
      <c r="F2807" s="6">
        <v>2</v>
      </c>
      <c r="G2807" s="6">
        <v>1178</v>
      </c>
    </row>
    <row r="2808" s="2" customFormat="true" ht="22.5" customHeight="true" spans="1:7">
      <c r="A2808" s="6">
        <f>2806</f>
        <v>2806</v>
      </c>
      <c r="B2808" s="6" t="s">
        <v>2753</v>
      </c>
      <c r="C2808" s="6" t="s">
        <v>9</v>
      </c>
      <c r="D2808" s="6" t="s">
        <v>270</v>
      </c>
      <c r="E2808" s="6" t="s">
        <v>17</v>
      </c>
      <c r="F2808" s="6">
        <v>2</v>
      </c>
      <c r="G2808" s="6">
        <v>1127</v>
      </c>
    </row>
    <row r="2809" s="2" customFormat="true" ht="22.5" customHeight="true" spans="1:7">
      <c r="A2809" s="6">
        <f>2807</f>
        <v>2807</v>
      </c>
      <c r="B2809" s="6" t="s">
        <v>2754</v>
      </c>
      <c r="C2809" s="6" t="s">
        <v>9</v>
      </c>
      <c r="D2809" s="6" t="s">
        <v>180</v>
      </c>
      <c r="E2809" s="6" t="s">
        <v>17</v>
      </c>
      <c r="F2809" s="6">
        <v>2</v>
      </c>
      <c r="G2809" s="6">
        <v>1127</v>
      </c>
    </row>
    <row r="2810" s="2" customFormat="true" ht="22.5" customHeight="true" spans="1:7">
      <c r="A2810" s="6">
        <f>2808</f>
        <v>2808</v>
      </c>
      <c r="B2810" s="6" t="s">
        <v>2755</v>
      </c>
      <c r="C2810" s="6" t="s">
        <v>15</v>
      </c>
      <c r="D2810" s="6" t="s">
        <v>16</v>
      </c>
      <c r="E2810" s="6" t="s">
        <v>17</v>
      </c>
      <c r="F2810" s="6">
        <v>1</v>
      </c>
      <c r="G2810" s="6">
        <v>690</v>
      </c>
    </row>
    <row r="2811" s="2" customFormat="true" ht="22.5" customHeight="true" spans="1:7">
      <c r="A2811" s="6">
        <f>2809</f>
        <v>2809</v>
      </c>
      <c r="B2811" s="6" t="s">
        <v>2756</v>
      </c>
      <c r="C2811" s="6" t="s">
        <v>15</v>
      </c>
      <c r="D2811" s="6" t="s">
        <v>260</v>
      </c>
      <c r="E2811" s="6" t="s">
        <v>17</v>
      </c>
      <c r="F2811" s="6">
        <v>2</v>
      </c>
      <c r="G2811" s="6">
        <v>1178</v>
      </c>
    </row>
    <row r="2812" s="2" customFormat="true" ht="22.5" customHeight="true" spans="1:7">
      <c r="A2812" s="6">
        <f>2810</f>
        <v>2810</v>
      </c>
      <c r="B2812" s="6" t="s">
        <v>2757</v>
      </c>
      <c r="C2812" s="6" t="s">
        <v>15</v>
      </c>
      <c r="D2812" s="6" t="s">
        <v>180</v>
      </c>
      <c r="E2812" s="6" t="s">
        <v>17</v>
      </c>
      <c r="F2812" s="6">
        <v>3</v>
      </c>
      <c r="G2812" s="6">
        <v>1578</v>
      </c>
    </row>
    <row r="2813" s="2" customFormat="true" ht="22.5" customHeight="true" spans="1:7">
      <c r="A2813" s="6">
        <f>2811</f>
        <v>2811</v>
      </c>
      <c r="B2813" s="6" t="s">
        <v>2758</v>
      </c>
      <c r="C2813" s="6" t="s">
        <v>9</v>
      </c>
      <c r="D2813" s="6" t="s">
        <v>146</v>
      </c>
      <c r="E2813" s="6" t="s">
        <v>17</v>
      </c>
      <c r="F2813" s="6">
        <v>4</v>
      </c>
      <c r="G2813" s="6">
        <v>2227</v>
      </c>
    </row>
    <row r="2814" s="2" customFormat="true" ht="22.5" customHeight="true" spans="1:7">
      <c r="A2814" s="6">
        <f>2812</f>
        <v>2812</v>
      </c>
      <c r="B2814" s="6" t="s">
        <v>2759</v>
      </c>
      <c r="C2814" s="6" t="s">
        <v>9</v>
      </c>
      <c r="D2814" s="6" t="s">
        <v>192</v>
      </c>
      <c r="E2814" s="6" t="s">
        <v>17</v>
      </c>
      <c r="F2814" s="6">
        <v>4</v>
      </c>
      <c r="G2814" s="6">
        <v>2291</v>
      </c>
    </row>
  </sheetData>
  <mergeCells count="1">
    <mergeCell ref="A1:G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2026-04-09T10:28:17Z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18596B92A8964FE58E14FA3EE1976DC3_13</vt:lpwstr>
  </property>
  <property fmtid="{D5CDD505-2E9C-101B-9397-08002B2CF9AE}" pid="4" name="CalculationRule">
    <vt:i4>0</vt:i4>
  </property>
</Properties>
</file>